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70" windowWidth="28815" windowHeight="6315"/>
  </bookViews>
  <sheets>
    <sheet name="úvodní strana" sheetId="135" r:id="rId1"/>
    <sheet name="Bilance" sheetId="12" r:id="rId2"/>
    <sheet name="Sumář příjmů a výdajů" sheetId="47" r:id="rId3"/>
    <sheet name="Fondy" sheetId="2" r:id="rId4"/>
    <sheet name="Příjmy z pronájmu majetku PO" sheetId="17" r:id="rId5"/>
    <sheet name="Dluhová služba " sheetId="16" r:id="rId6"/>
    <sheet name="Kapitálové výdaje " sheetId="80" r:id="rId7"/>
    <sheet name="Očekávané výdaje" sheetId="108" r:id="rId8"/>
    <sheet name="Specifické rezervy" sheetId="136" r:id="rId9"/>
    <sheet name="Příspěvky PO" sheetId="134" r:id="rId10"/>
    <sheet name="Běžné výdaje kapitol" sheetId="4" r:id="rId11"/>
    <sheet name="01" sheetId="120" r:id="rId12"/>
    <sheet name="02" sheetId="113" r:id="rId13"/>
    <sheet name="03" sheetId="112" r:id="rId14"/>
    <sheet name="04" sheetId="126" r:id="rId15"/>
    <sheet name="05" sheetId="130" r:id="rId16"/>
    <sheet name="06" sheetId="127" r:id="rId17"/>
    <sheet name="07" sheetId="114" r:id="rId18"/>
    <sheet name="08" sheetId="133" r:id="rId19"/>
    <sheet name="09" sheetId="110" r:id="rId20"/>
    <sheet name="10" sheetId="118" r:id="rId21"/>
    <sheet name="11" sheetId="109" r:id="rId22"/>
    <sheet name="13" sheetId="125" r:id="rId23"/>
    <sheet name="15" sheetId="115" r:id="rId24"/>
    <sheet name="17" sheetId="131" r:id="rId25"/>
    <sheet name="18" sheetId="119" r:id="rId26"/>
    <sheet name="23" sheetId="121" r:id="rId27"/>
    <sheet name="25" sheetId="117" r:id="rId28"/>
    <sheet name="Kapitoly - shrnutí BV a INV" sheetId="81" r:id="rId29"/>
    <sheet name="Semafor" sheetId="82" r:id="rId30"/>
  </sheets>
  <definedNames>
    <definedName name="_xlnm._FilterDatabase" localSheetId="24" hidden="1">'17'!#REF!</definedName>
    <definedName name="_xlnm.Print_Titles" localSheetId="15">'05'!$6:$7</definedName>
    <definedName name="_xlnm.Print_Titles" localSheetId="16">'06'!$6:$7</definedName>
    <definedName name="_xlnm.Print_Titles" localSheetId="24">'17'!$6:$7</definedName>
    <definedName name="_xlnm.Print_Titles" localSheetId="2">'Sumář příjmů a výdajů'!$1:$4</definedName>
    <definedName name="_xlnm.Print_Area" localSheetId="4">'Příjmy z pronájmu majetku PO'!$A$1:$H$26</definedName>
  </definedNames>
  <calcPr calcId="152511"/>
</workbook>
</file>

<file path=xl/calcChain.xml><?xml version="1.0" encoding="utf-8"?>
<calcChain xmlns="http://schemas.openxmlformats.org/spreadsheetml/2006/main">
  <c r="E45" i="130" l="1"/>
  <c r="F45" i="130"/>
  <c r="G45" i="130"/>
  <c r="H45" i="130"/>
  <c r="I45" i="130"/>
  <c r="J45" i="130"/>
  <c r="K45" i="130"/>
  <c r="D45" i="130"/>
  <c r="L46" i="130"/>
  <c r="N46" i="130" s="1"/>
  <c r="L47" i="130"/>
  <c r="L48" i="130"/>
  <c r="N48" i="130" s="1"/>
  <c r="L49" i="130"/>
  <c r="N49" i="130" s="1"/>
  <c r="L50" i="130"/>
  <c r="N50" i="130" s="1"/>
  <c r="L45" i="130" l="1"/>
  <c r="M49" i="130"/>
  <c r="N47" i="130"/>
  <c r="K12" i="120"/>
  <c r="L16" i="126" l="1"/>
  <c r="M16" i="126" s="1"/>
  <c r="N16" i="126" l="1"/>
  <c r="K14" i="126"/>
  <c r="I14" i="126"/>
  <c r="L25" i="130" l="1"/>
  <c r="F12" i="17" l="1"/>
  <c r="F12" i="12" l="1"/>
  <c r="E12" i="12"/>
  <c r="F11" i="12"/>
  <c r="E11" i="12"/>
  <c r="F9" i="12"/>
  <c r="E9" i="12"/>
  <c r="H9" i="133"/>
  <c r="H38" i="133" s="1"/>
  <c r="J33" i="125" l="1"/>
  <c r="K32" i="125"/>
  <c r="I33" i="125"/>
  <c r="H33" i="125"/>
  <c r="G33" i="125"/>
  <c r="F33" i="125"/>
  <c r="E33" i="125"/>
  <c r="D33" i="125"/>
  <c r="C33" i="125"/>
  <c r="K14" i="125"/>
  <c r="M14" i="125" s="1"/>
  <c r="H20" i="110"/>
  <c r="L18" i="110"/>
  <c r="N18" i="110" s="1"/>
  <c r="G38" i="133"/>
  <c r="H22" i="114"/>
  <c r="M32" i="125" l="1"/>
  <c r="H30" i="113" l="1"/>
  <c r="H13" i="113"/>
  <c r="G13" i="113"/>
  <c r="H12" i="113"/>
  <c r="G12" i="113"/>
  <c r="G27" i="120"/>
  <c r="H27" i="120"/>
  <c r="L11" i="120"/>
  <c r="F15" i="17"/>
  <c r="E20" i="16"/>
  <c r="F20" i="16"/>
  <c r="F19" i="16"/>
  <c r="F10" i="12"/>
  <c r="E10" i="12"/>
  <c r="N11" i="120" l="1"/>
  <c r="F55" i="47" l="1"/>
  <c r="E55" i="47"/>
  <c r="L21" i="126" l="1"/>
  <c r="N21" i="126" s="1"/>
  <c r="L22" i="126"/>
  <c r="M22" i="126" s="1"/>
  <c r="G17" i="110"/>
  <c r="N22" i="126" l="1"/>
  <c r="M21" i="126"/>
  <c r="C12" i="17" l="1"/>
  <c r="P21" i="81"/>
  <c r="P22" i="81"/>
  <c r="P23" i="81"/>
  <c r="P25" i="81"/>
  <c r="P26" i="81"/>
  <c r="P27" i="81"/>
  <c r="B47" i="82" l="1"/>
  <c r="F9" i="115"/>
  <c r="H24" i="114" l="1"/>
  <c r="G22" i="114"/>
  <c r="E56" i="130"/>
  <c r="E36" i="82" l="1"/>
  <c r="E37" i="82"/>
  <c r="E38" i="82"/>
  <c r="E39" i="82"/>
  <c r="E40" i="82"/>
  <c r="D9" i="80" l="1"/>
  <c r="C9" i="80"/>
  <c r="L40" i="131"/>
  <c r="L74" i="131"/>
  <c r="N74" i="131" s="1"/>
  <c r="F9" i="80" l="1"/>
  <c r="G9" i="80"/>
  <c r="E9" i="80"/>
  <c r="H30" i="80" l="1"/>
  <c r="H27" i="80"/>
  <c r="I11" i="112"/>
  <c r="D76" i="47" l="1"/>
  <c r="G76" i="47"/>
  <c r="D77" i="47"/>
  <c r="D78" i="47" s="1"/>
  <c r="G77" i="47"/>
  <c r="B77" i="47"/>
  <c r="B76" i="47"/>
  <c r="B78" i="47" s="1"/>
  <c r="G72" i="47"/>
  <c r="G73" i="47"/>
  <c r="D72" i="47"/>
  <c r="D73" i="47"/>
  <c r="D74" i="47" s="1"/>
  <c r="B73" i="47"/>
  <c r="B72" i="47"/>
  <c r="B74" i="47" s="1"/>
  <c r="L10" i="133"/>
  <c r="G78" i="47" l="1"/>
  <c r="H78" i="47" s="1"/>
  <c r="G74" i="47"/>
  <c r="G80" i="47" s="1"/>
  <c r="G85" i="47" s="1"/>
  <c r="B80" i="47"/>
  <c r="B85" i="47" s="1"/>
  <c r="H72" i="47"/>
  <c r="D80" i="47"/>
  <c r="D85" i="47" s="1"/>
  <c r="J19" i="133" l="1"/>
  <c r="K19" i="133"/>
  <c r="K38" i="133" s="1"/>
  <c r="I19" i="133"/>
  <c r="I38" i="133" s="1"/>
  <c r="J9" i="133"/>
  <c r="J38" i="133" s="1"/>
  <c r="E12" i="136" l="1"/>
  <c r="E15" i="136" s="1"/>
  <c r="H71" i="47" l="1"/>
  <c r="J23" i="126" l="1"/>
  <c r="K23" i="126"/>
  <c r="I23" i="126"/>
  <c r="L27" i="126"/>
  <c r="I14" i="80" l="1"/>
  <c r="I16" i="80"/>
  <c r="I17" i="80"/>
  <c r="I21" i="80"/>
  <c r="I19" i="80"/>
  <c r="D49" i="127" l="1"/>
  <c r="E76" i="131"/>
  <c r="E78" i="131"/>
  <c r="H25" i="2" l="1"/>
  <c r="L20" i="126" l="1"/>
  <c r="J11" i="114" l="1"/>
  <c r="K11" i="114"/>
  <c r="I11" i="114"/>
  <c r="G23" i="12"/>
  <c r="G22" i="12"/>
  <c r="G21" i="12"/>
  <c r="G12" i="12"/>
  <c r="G11" i="12"/>
  <c r="G9" i="12"/>
  <c r="L11" i="114" l="1"/>
  <c r="I11" i="110"/>
  <c r="I20" i="110" s="1"/>
  <c r="I17" i="113" l="1"/>
  <c r="L15" i="118" l="1"/>
  <c r="N15" i="118" s="1"/>
  <c r="D25" i="118"/>
  <c r="E25" i="118"/>
  <c r="F25" i="118"/>
  <c r="G25" i="118"/>
  <c r="H25" i="118"/>
  <c r="I25" i="118"/>
  <c r="I18" i="120" l="1"/>
  <c r="H28" i="2" l="1"/>
  <c r="H23" i="80" s="1"/>
  <c r="H9" i="80" l="1"/>
  <c r="I23" i="80"/>
  <c r="K78" i="131" l="1"/>
  <c r="J78" i="131"/>
  <c r="I78" i="131"/>
  <c r="H78" i="131"/>
  <c r="G78" i="131"/>
  <c r="L71" i="131"/>
  <c r="L70" i="131"/>
  <c r="F78" i="131"/>
  <c r="D78" i="131"/>
  <c r="J10" i="115"/>
  <c r="I10" i="115"/>
  <c r="H10" i="115"/>
  <c r="G10" i="115"/>
  <c r="F10" i="115"/>
  <c r="E10" i="115"/>
  <c r="L13" i="118"/>
  <c r="L19" i="110"/>
  <c r="N19" i="110" s="1"/>
  <c r="L16" i="110"/>
  <c r="N16" i="110" s="1"/>
  <c r="L10" i="110"/>
  <c r="L25" i="133"/>
  <c r="L26" i="133"/>
  <c r="N26" i="133" s="1"/>
  <c r="E49" i="127"/>
  <c r="H35" i="127"/>
  <c r="G35" i="127"/>
  <c r="H25" i="127"/>
  <c r="G25" i="127"/>
  <c r="G49" i="127" s="1"/>
  <c r="F35" i="127"/>
  <c r="F25" i="127"/>
  <c r="F49" i="127" s="1"/>
  <c r="L59" i="130"/>
  <c r="N59" i="130" s="1"/>
  <c r="H49" i="127" l="1"/>
  <c r="N70" i="131"/>
  <c r="N71" i="131"/>
  <c r="N13" i="118"/>
  <c r="N10" i="110"/>
  <c r="L31" i="126"/>
  <c r="L32" i="126"/>
  <c r="L33" i="126"/>
  <c r="G9" i="113"/>
  <c r="H9" i="113"/>
  <c r="F9" i="113"/>
  <c r="F27" i="120"/>
  <c r="F27" i="80"/>
  <c r="G27" i="80"/>
  <c r="C25" i="2"/>
  <c r="E25" i="2"/>
  <c r="F25" i="2"/>
  <c r="G25" i="2"/>
  <c r="N32" i="126" l="1"/>
  <c r="N31" i="126"/>
  <c r="N33" i="126"/>
  <c r="K9" i="113" l="1"/>
  <c r="J9" i="113"/>
  <c r="I9" i="113"/>
  <c r="L12" i="117" l="1"/>
  <c r="L13" i="117"/>
  <c r="K27" i="120" l="1"/>
  <c r="J27" i="120"/>
  <c r="I27" i="120"/>
  <c r="F16" i="134" l="1"/>
  <c r="C28" i="134"/>
  <c r="F40" i="134"/>
  <c r="C40" i="134"/>
  <c r="B40" i="134"/>
  <c r="D40" i="134"/>
  <c r="B28" i="134"/>
  <c r="D28" i="134"/>
  <c r="F28" i="134"/>
  <c r="E28" i="134"/>
  <c r="C16" i="134"/>
  <c r="E16" i="134"/>
  <c r="D16" i="134"/>
  <c r="L30" i="113"/>
  <c r="L31" i="113"/>
  <c r="L29" i="113"/>
  <c r="L11" i="113"/>
  <c r="L12" i="113"/>
  <c r="M12" i="113" s="1"/>
  <c r="L13" i="113"/>
  <c r="M13" i="113" s="1"/>
  <c r="L14" i="113"/>
  <c r="M14" i="113" s="1"/>
  <c r="L15" i="113"/>
  <c r="M15" i="113" s="1"/>
  <c r="L16" i="113"/>
  <c r="N16" i="113" s="1"/>
  <c r="L17" i="113"/>
  <c r="N17" i="113" s="1"/>
  <c r="L18" i="113"/>
  <c r="M18" i="113" s="1"/>
  <c r="L19" i="113"/>
  <c r="L20" i="113"/>
  <c r="M20" i="113" s="1"/>
  <c r="L21" i="113"/>
  <c r="L22" i="113"/>
  <c r="N22" i="113" s="1"/>
  <c r="L23" i="113"/>
  <c r="M23" i="113" s="1"/>
  <c r="L24" i="113"/>
  <c r="L25" i="113"/>
  <c r="L10" i="113"/>
  <c r="M10" i="113" s="1"/>
  <c r="E9" i="113"/>
  <c r="D9" i="113"/>
  <c r="J28" i="113"/>
  <c r="K28" i="113"/>
  <c r="I28" i="113"/>
  <c r="I34" i="113" s="1"/>
  <c r="M11" i="113"/>
  <c r="L9" i="113"/>
  <c r="N13" i="113" l="1"/>
  <c r="M16" i="113"/>
  <c r="N15" i="113"/>
  <c r="N23" i="113"/>
  <c r="M22" i="113"/>
  <c r="N18" i="113"/>
  <c r="N24" i="113"/>
  <c r="N20" i="113"/>
  <c r="N25" i="113"/>
  <c r="M17" i="113"/>
  <c r="N10" i="113"/>
  <c r="N14" i="113"/>
  <c r="N12" i="113"/>
  <c r="N11" i="113"/>
  <c r="J17" i="114" l="1"/>
  <c r="J24" i="114" s="1"/>
  <c r="K17" i="114"/>
  <c r="K24" i="114" s="1"/>
  <c r="L11" i="133" l="1"/>
  <c r="M11" i="133" s="1"/>
  <c r="L12" i="133"/>
  <c r="L13" i="133"/>
  <c r="N13" i="133" s="1"/>
  <c r="L14" i="133"/>
  <c r="M14" i="133" s="1"/>
  <c r="L15" i="133"/>
  <c r="N15" i="133" s="1"/>
  <c r="L16" i="133"/>
  <c r="M16" i="133" s="1"/>
  <c r="L17" i="133"/>
  <c r="L18" i="133"/>
  <c r="L19" i="133"/>
  <c r="N19" i="133" s="1"/>
  <c r="L20" i="133"/>
  <c r="H13" i="134" s="1"/>
  <c r="L21" i="133"/>
  <c r="M21" i="133" s="1"/>
  <c r="L22" i="133"/>
  <c r="P17" i="81" s="1"/>
  <c r="L23" i="133"/>
  <c r="N23" i="133" s="1"/>
  <c r="L24" i="133"/>
  <c r="L27" i="133"/>
  <c r="M27" i="133" s="1"/>
  <c r="L28" i="133"/>
  <c r="N28" i="133" s="1"/>
  <c r="L29" i="133"/>
  <c r="M29" i="133" s="1"/>
  <c r="L30" i="133"/>
  <c r="L31" i="133"/>
  <c r="L32" i="133"/>
  <c r="N32" i="133" s="1"/>
  <c r="L33" i="133"/>
  <c r="N33" i="133" s="1"/>
  <c r="L34" i="133"/>
  <c r="N34" i="133" s="1"/>
  <c r="L35" i="133"/>
  <c r="N35" i="133" s="1"/>
  <c r="L36" i="133"/>
  <c r="N36" i="133" s="1"/>
  <c r="L37" i="133"/>
  <c r="L9" i="133"/>
  <c r="N9" i="133" s="1"/>
  <c r="F38" i="133"/>
  <c r="E38" i="133"/>
  <c r="D38" i="133"/>
  <c r="M20" i="133"/>
  <c r="M13" i="133"/>
  <c r="N31" i="133" l="1"/>
  <c r="L38" i="133"/>
  <c r="H25" i="134"/>
  <c r="N14" i="133"/>
  <c r="N29" i="133"/>
  <c r="N16" i="133"/>
  <c r="N20" i="133"/>
  <c r="M34" i="133"/>
  <c r="N11" i="133"/>
  <c r="N21" i="133"/>
  <c r="N27" i="133"/>
  <c r="M28" i="133"/>
  <c r="M33" i="133"/>
  <c r="M35" i="133"/>
  <c r="M22" i="133"/>
  <c r="H37" i="134"/>
  <c r="M15" i="133"/>
  <c r="M19" i="133"/>
  <c r="M23" i="133"/>
  <c r="N22" i="133"/>
  <c r="M32" i="133"/>
  <c r="M36" i="133"/>
  <c r="M9" i="133"/>
  <c r="M38" i="133" l="1"/>
  <c r="N38" i="133"/>
  <c r="L24" i="127"/>
  <c r="L45" i="127"/>
  <c r="L36" i="127"/>
  <c r="L40" i="127"/>
  <c r="L19" i="127"/>
  <c r="L15" i="127"/>
  <c r="L11" i="127"/>
  <c r="H23" i="134" l="1"/>
  <c r="K23" i="127"/>
  <c r="L23" i="127" s="1"/>
  <c r="L25" i="126" l="1"/>
  <c r="H21" i="134" l="1"/>
  <c r="J25" i="127"/>
  <c r="K25" i="127"/>
  <c r="I25" i="127"/>
  <c r="H11" i="47" l="1"/>
  <c r="H12" i="47"/>
  <c r="H13" i="47"/>
  <c r="H15" i="47"/>
  <c r="H17" i="47"/>
  <c r="H19" i="47"/>
  <c r="H20" i="47"/>
  <c r="H21" i="47"/>
  <c r="H28" i="47"/>
  <c r="H35" i="47"/>
  <c r="H36" i="47"/>
  <c r="H37" i="47"/>
  <c r="H38" i="47"/>
  <c r="H40" i="47"/>
  <c r="H41" i="47"/>
  <c r="H76" i="47" s="1"/>
  <c r="H42" i="47"/>
  <c r="H77" i="47" s="1"/>
  <c r="H43" i="47"/>
  <c r="H44" i="47"/>
  <c r="H46" i="47"/>
  <c r="H47" i="47"/>
  <c r="H48" i="47"/>
  <c r="H50" i="47"/>
  <c r="H51" i="47"/>
  <c r="H54" i="47"/>
  <c r="H10" i="47"/>
  <c r="M20" i="126" l="1"/>
  <c r="M25" i="126"/>
  <c r="N20" i="126"/>
  <c r="N25" i="126"/>
  <c r="L30" i="126"/>
  <c r="N30" i="126" s="1"/>
  <c r="L29" i="126"/>
  <c r="M29" i="126" s="1"/>
  <c r="L28" i="126"/>
  <c r="L26" i="126"/>
  <c r="M26" i="126" s="1"/>
  <c r="L24" i="126"/>
  <c r="M24" i="126" s="1"/>
  <c r="H34" i="126"/>
  <c r="G34" i="126"/>
  <c r="F23" i="126"/>
  <c r="E23" i="126"/>
  <c r="D23" i="126"/>
  <c r="L19" i="126"/>
  <c r="N19" i="126" s="1"/>
  <c r="L18" i="126"/>
  <c r="M18" i="126" s="1"/>
  <c r="L17" i="126"/>
  <c r="N17" i="126" s="1"/>
  <c r="L15" i="126"/>
  <c r="N15" i="126" s="1"/>
  <c r="L14" i="126"/>
  <c r="N13" i="126"/>
  <c r="M13" i="126"/>
  <c r="L12" i="126"/>
  <c r="K11" i="126"/>
  <c r="K34" i="126" s="1"/>
  <c r="J11" i="126"/>
  <c r="J34" i="126" s="1"/>
  <c r="I11" i="126"/>
  <c r="I34" i="126" s="1"/>
  <c r="F11" i="126"/>
  <c r="E11" i="126"/>
  <c r="D11" i="126"/>
  <c r="L10" i="126"/>
  <c r="M10" i="126" s="1"/>
  <c r="L9" i="126"/>
  <c r="F34" i="126" l="1"/>
  <c r="D34" i="126"/>
  <c r="N28" i="126"/>
  <c r="M28" i="126"/>
  <c r="E34" i="126"/>
  <c r="P13" i="81"/>
  <c r="N12" i="126"/>
  <c r="N29" i="126"/>
  <c r="N26" i="126"/>
  <c r="N24" i="126"/>
  <c r="M15" i="126"/>
  <c r="N18" i="126"/>
  <c r="M12" i="126"/>
  <c r="L23" i="126"/>
  <c r="N14" i="126"/>
  <c r="N10" i="126"/>
  <c r="L11" i="126"/>
  <c r="N9" i="126"/>
  <c r="M30" i="126"/>
  <c r="M14" i="126"/>
  <c r="M9" i="126"/>
  <c r="L34" i="126" l="1"/>
  <c r="H9" i="134"/>
  <c r="H33" i="134"/>
  <c r="M23" i="126"/>
  <c r="N23" i="126"/>
  <c r="N11" i="126"/>
  <c r="M11" i="126"/>
  <c r="M34" i="126" l="1"/>
  <c r="N34" i="126"/>
  <c r="E24" i="114"/>
  <c r="L23" i="114"/>
  <c r="N23" i="114" s="1"/>
  <c r="L22" i="114"/>
  <c r="N22" i="114" s="1"/>
  <c r="L21" i="114"/>
  <c r="N21" i="114" s="1"/>
  <c r="L20" i="114"/>
  <c r="L19" i="114"/>
  <c r="L18" i="114"/>
  <c r="I17" i="114"/>
  <c r="G17" i="114"/>
  <c r="F17" i="114"/>
  <c r="D17" i="114"/>
  <c r="L16" i="114"/>
  <c r="N16" i="114" s="1"/>
  <c r="L15" i="114"/>
  <c r="N15" i="114" s="1"/>
  <c r="L14" i="114"/>
  <c r="L13" i="114"/>
  <c r="L12" i="114"/>
  <c r="G11" i="114"/>
  <c r="G24" i="114" s="1"/>
  <c r="F11" i="114"/>
  <c r="D11" i="114"/>
  <c r="L10" i="114"/>
  <c r="L9" i="114"/>
  <c r="L17" i="114" l="1"/>
  <c r="I24" i="114"/>
  <c r="M9" i="114"/>
  <c r="L24" i="114"/>
  <c r="H36" i="134"/>
  <c r="F24" i="114"/>
  <c r="D24" i="114"/>
  <c r="N9" i="114"/>
  <c r="H12" i="134"/>
  <c r="H24" i="134"/>
  <c r="N19" i="114"/>
  <c r="N14" i="114"/>
  <c r="P16" i="81"/>
  <c r="N13" i="114"/>
  <c r="N12" i="114"/>
  <c r="N11" i="114"/>
  <c r="M21" i="114"/>
  <c r="M12" i="114"/>
  <c r="M19" i="114"/>
  <c r="M23" i="114"/>
  <c r="M14" i="114"/>
  <c r="N20" i="114"/>
  <c r="N17" i="114"/>
  <c r="M17" i="114"/>
  <c r="M13" i="114"/>
  <c r="M22" i="114"/>
  <c r="M11" i="114" l="1"/>
  <c r="N36" i="127"/>
  <c r="N24" i="114" l="1"/>
  <c r="M24" i="114"/>
  <c r="M45" i="127"/>
  <c r="N45" i="127"/>
  <c r="M23" i="127"/>
  <c r="N23" i="127"/>
  <c r="L48" i="127" l="1"/>
  <c r="L47" i="127"/>
  <c r="N47" i="127" s="1"/>
  <c r="L46" i="127"/>
  <c r="L44" i="127"/>
  <c r="L43" i="127"/>
  <c r="M43" i="127" s="1"/>
  <c r="L42" i="127"/>
  <c r="N42" i="127" s="1"/>
  <c r="L41" i="127"/>
  <c r="N41" i="127" s="1"/>
  <c r="N40" i="127"/>
  <c r="M40" i="127"/>
  <c r="L39" i="127"/>
  <c r="M39" i="127" s="1"/>
  <c r="L38" i="127"/>
  <c r="N38" i="127" s="1"/>
  <c r="L37" i="127"/>
  <c r="N37" i="127" s="1"/>
  <c r="K35" i="127"/>
  <c r="J35" i="127"/>
  <c r="L34" i="127"/>
  <c r="N34" i="127" s="1"/>
  <c r="L33" i="127"/>
  <c r="L32" i="127"/>
  <c r="N32" i="127" s="1"/>
  <c r="L31" i="127"/>
  <c r="N31" i="127" s="1"/>
  <c r="L30" i="127"/>
  <c r="M30" i="127" s="1"/>
  <c r="L29" i="127"/>
  <c r="N29" i="127" s="1"/>
  <c r="L28" i="127"/>
  <c r="M28" i="127" s="1"/>
  <c r="L27" i="127"/>
  <c r="N27" i="127" s="1"/>
  <c r="L26" i="127"/>
  <c r="N26" i="127" s="1"/>
  <c r="L25" i="127"/>
  <c r="N25" i="127" s="1"/>
  <c r="L22" i="127"/>
  <c r="L20" i="127"/>
  <c r="N19" i="127"/>
  <c r="M19" i="127"/>
  <c r="L18" i="127"/>
  <c r="K17" i="127"/>
  <c r="J17" i="127"/>
  <c r="I17" i="127"/>
  <c r="L16" i="127"/>
  <c r="N15" i="127"/>
  <c r="M15" i="127"/>
  <c r="J13" i="127"/>
  <c r="L12" i="127"/>
  <c r="N11" i="127"/>
  <c r="M11" i="127"/>
  <c r="L10" i="127"/>
  <c r="K9" i="127"/>
  <c r="J9" i="127"/>
  <c r="I9" i="127"/>
  <c r="J49" i="127" l="1"/>
  <c r="L35" i="127"/>
  <c r="M35" i="127" s="1"/>
  <c r="N10" i="127"/>
  <c r="H35" i="134"/>
  <c r="N12" i="127"/>
  <c r="P15" i="81"/>
  <c r="M25" i="127"/>
  <c r="M34" i="127"/>
  <c r="N28" i="127"/>
  <c r="I13" i="127"/>
  <c r="L9" i="127"/>
  <c r="N43" i="127"/>
  <c r="L17" i="127"/>
  <c r="N17" i="127" s="1"/>
  <c r="N39" i="127"/>
  <c r="K13" i="127"/>
  <c r="K49" i="127" s="1"/>
  <c r="N30" i="127"/>
  <c r="M12" i="127"/>
  <c r="M37" i="127"/>
  <c r="N16" i="127"/>
  <c r="M16" i="127"/>
  <c r="N35" i="127"/>
  <c r="M10" i="127"/>
  <c r="M29" i="127"/>
  <c r="M26" i="127"/>
  <c r="L14" i="127"/>
  <c r="H11" i="134" s="1"/>
  <c r="M32" i="127"/>
  <c r="M38" i="127"/>
  <c r="M41" i="127"/>
  <c r="M27" i="127"/>
  <c r="M9" i="127" l="1"/>
  <c r="I49" i="127"/>
  <c r="L13" i="127"/>
  <c r="M13" i="127" s="1"/>
  <c r="N9" i="127"/>
  <c r="M17" i="127"/>
  <c r="N14" i="127"/>
  <c r="M14" i="127"/>
  <c r="L49" i="127" l="1"/>
  <c r="N13" i="127"/>
  <c r="N49" i="127" l="1"/>
  <c r="M49" i="127"/>
  <c r="I10" i="80" l="1"/>
  <c r="I28" i="80"/>
  <c r="I29" i="80"/>
  <c r="I30" i="80"/>
  <c r="H13" i="17"/>
  <c r="I16" i="2"/>
  <c r="I17" i="2"/>
  <c r="I18" i="2"/>
  <c r="I20" i="2"/>
  <c r="I22" i="2"/>
  <c r="I23" i="2"/>
  <c r="L17" i="110" l="1"/>
  <c r="N17" i="110" s="1"/>
  <c r="L15" i="110"/>
  <c r="E20" i="110"/>
  <c r="D20" i="110"/>
  <c r="G30" i="16"/>
  <c r="F30" i="16"/>
  <c r="E30" i="16"/>
  <c r="D30" i="16"/>
  <c r="C30" i="16"/>
  <c r="B30" i="16"/>
  <c r="F34" i="113"/>
  <c r="E34" i="113"/>
  <c r="D34" i="113"/>
  <c r="K9" i="115"/>
  <c r="D10" i="115"/>
  <c r="C10" i="115"/>
  <c r="K10" i="115" l="1"/>
  <c r="M9" i="115"/>
  <c r="L9" i="115"/>
  <c r="L12" i="109"/>
  <c r="L13" i="109"/>
  <c r="L11" i="109"/>
  <c r="L10" i="109"/>
  <c r="L9" i="109"/>
  <c r="E14" i="109"/>
  <c r="F14" i="109"/>
  <c r="G14" i="109"/>
  <c r="H14" i="109"/>
  <c r="I14" i="109"/>
  <c r="J14" i="109"/>
  <c r="K14" i="109"/>
  <c r="D14" i="109"/>
  <c r="L9" i="110"/>
  <c r="L13" i="110"/>
  <c r="H26" i="134" s="1"/>
  <c r="L14" i="110"/>
  <c r="H38" i="134" s="1"/>
  <c r="L12" i="110"/>
  <c r="H14" i="134" s="1"/>
  <c r="E15" i="112"/>
  <c r="F15" i="112"/>
  <c r="G15" i="112"/>
  <c r="H15" i="112"/>
  <c r="D15" i="112"/>
  <c r="E27" i="120"/>
  <c r="D27" i="120"/>
  <c r="G34" i="113"/>
  <c r="H34" i="113"/>
  <c r="L26" i="113"/>
  <c r="L27" i="113"/>
  <c r="L28" i="113"/>
  <c r="L32" i="113"/>
  <c r="N32" i="113" s="1"/>
  <c r="L33" i="113"/>
  <c r="J34" i="113"/>
  <c r="K34" i="113"/>
  <c r="L34" i="113" l="1"/>
  <c r="L14" i="109"/>
  <c r="L10" i="120"/>
  <c r="L12" i="120"/>
  <c r="L13" i="120"/>
  <c r="L14" i="120"/>
  <c r="L15" i="120"/>
  <c r="L16" i="120"/>
  <c r="L17" i="120"/>
  <c r="L18" i="120"/>
  <c r="L19" i="120"/>
  <c r="L20" i="120"/>
  <c r="L21" i="120"/>
  <c r="L22" i="120"/>
  <c r="L23" i="120"/>
  <c r="L24" i="120"/>
  <c r="L25" i="120"/>
  <c r="N25" i="120" s="1"/>
  <c r="L26" i="120"/>
  <c r="M26" i="120" s="1"/>
  <c r="H15" i="117"/>
  <c r="K15" i="117"/>
  <c r="I15" i="117"/>
  <c r="G15" i="117"/>
  <c r="F15" i="117"/>
  <c r="E15" i="117"/>
  <c r="D15" i="117"/>
  <c r="N13" i="117"/>
  <c r="M12" i="117"/>
  <c r="L11" i="117"/>
  <c r="M11" i="117" s="1"/>
  <c r="K31" i="125"/>
  <c r="M31" i="125" s="1"/>
  <c r="K30" i="125"/>
  <c r="L30" i="125" s="1"/>
  <c r="K29" i="125"/>
  <c r="L29" i="125" s="1"/>
  <c r="K28" i="125"/>
  <c r="L28" i="125" s="1"/>
  <c r="K27" i="125"/>
  <c r="L27" i="125" s="1"/>
  <c r="K26" i="125"/>
  <c r="M26" i="125" s="1"/>
  <c r="K25" i="125"/>
  <c r="L25" i="125" s="1"/>
  <c r="K24" i="125"/>
  <c r="K23" i="125"/>
  <c r="M23" i="125" s="1"/>
  <c r="K22" i="125"/>
  <c r="M22" i="125" s="1"/>
  <c r="K21" i="125"/>
  <c r="L21" i="125" s="1"/>
  <c r="K20" i="125"/>
  <c r="K19" i="125"/>
  <c r="M19" i="125" s="1"/>
  <c r="K18" i="125"/>
  <c r="K17" i="125"/>
  <c r="L17" i="125" s="1"/>
  <c r="K16" i="125"/>
  <c r="L16" i="125" s="1"/>
  <c r="K15" i="125"/>
  <c r="L15" i="125" s="1"/>
  <c r="K13" i="125"/>
  <c r="M13" i="125" s="1"/>
  <c r="K12" i="125"/>
  <c r="M12" i="125" s="1"/>
  <c r="K11" i="125"/>
  <c r="L11" i="125" s="1"/>
  <c r="K10" i="125"/>
  <c r="L10" i="125" s="1"/>
  <c r="K9" i="125"/>
  <c r="M9" i="125" l="1"/>
  <c r="K33" i="125"/>
  <c r="M10" i="125"/>
  <c r="M30" i="125"/>
  <c r="M21" i="125"/>
  <c r="M29" i="125"/>
  <c r="M16" i="125"/>
  <c r="M25" i="125"/>
  <c r="M15" i="125"/>
  <c r="L23" i="125"/>
  <c r="L22" i="125"/>
  <c r="J15" i="117"/>
  <c r="L14" i="117"/>
  <c r="L31" i="125"/>
  <c r="M24" i="120"/>
  <c r="N24" i="120"/>
  <c r="N12" i="117"/>
  <c r="M28" i="125"/>
  <c r="M13" i="117"/>
  <c r="P28" i="81"/>
  <c r="N11" i="117"/>
  <c r="M27" i="125"/>
  <c r="M17" i="125"/>
  <c r="M11" i="125"/>
  <c r="L9" i="125"/>
  <c r="L15" i="117" l="1"/>
  <c r="M15" i="117" s="1"/>
  <c r="M33" i="125"/>
  <c r="L33" i="125"/>
  <c r="N15" i="117" l="1"/>
  <c r="P18" i="81"/>
  <c r="K11" i="110"/>
  <c r="K20" i="110" s="1"/>
  <c r="J11" i="110"/>
  <c r="J20" i="110" s="1"/>
  <c r="F11" i="110"/>
  <c r="F20" i="110" s="1"/>
  <c r="G11" i="110"/>
  <c r="G20" i="110" s="1"/>
  <c r="M9" i="110"/>
  <c r="M14" i="110"/>
  <c r="N13" i="110"/>
  <c r="N12" i="110"/>
  <c r="D9" i="130"/>
  <c r="L11" i="110" l="1"/>
  <c r="L20" i="110" s="1"/>
  <c r="M11" i="110"/>
  <c r="N11" i="110"/>
  <c r="N20" i="110"/>
  <c r="N9" i="110"/>
  <c r="N14" i="110"/>
  <c r="M13" i="110"/>
  <c r="M12" i="110"/>
  <c r="L77" i="131"/>
  <c r="N77" i="131" s="1"/>
  <c r="L76" i="131"/>
  <c r="L75" i="131"/>
  <c r="L73" i="131"/>
  <c r="L72" i="131"/>
  <c r="L69" i="131"/>
  <c r="L68" i="131"/>
  <c r="L67" i="131"/>
  <c r="L66" i="131"/>
  <c r="L65" i="131"/>
  <c r="L64" i="131"/>
  <c r="L63" i="131"/>
  <c r="L62" i="131"/>
  <c r="L61" i="131"/>
  <c r="M61" i="131" s="1"/>
  <c r="L60" i="131"/>
  <c r="L59" i="131"/>
  <c r="L58" i="131"/>
  <c r="L57" i="131"/>
  <c r="L56" i="131"/>
  <c r="L55" i="131"/>
  <c r="L54" i="131"/>
  <c r="L53" i="131"/>
  <c r="M53" i="131" s="1"/>
  <c r="L52" i="131"/>
  <c r="L51" i="131"/>
  <c r="L50" i="131"/>
  <c r="L49" i="131"/>
  <c r="L48" i="131"/>
  <c r="M48" i="131" s="1"/>
  <c r="L47" i="131"/>
  <c r="L46" i="131"/>
  <c r="L45" i="131"/>
  <c r="L44" i="131"/>
  <c r="L43" i="131"/>
  <c r="L42" i="131"/>
  <c r="L41" i="131"/>
  <c r="L39" i="131"/>
  <c r="L38" i="131"/>
  <c r="L37" i="131"/>
  <c r="L36" i="131"/>
  <c r="L35" i="131"/>
  <c r="L34" i="131"/>
  <c r="L33" i="131"/>
  <c r="L32" i="131"/>
  <c r="L31" i="131"/>
  <c r="L30" i="131"/>
  <c r="L29" i="131"/>
  <c r="L28" i="131"/>
  <c r="L27" i="131"/>
  <c r="M27" i="131" s="1"/>
  <c r="L26" i="131"/>
  <c r="M26" i="131" s="1"/>
  <c r="L25" i="131"/>
  <c r="N25" i="131" s="1"/>
  <c r="L24" i="131"/>
  <c r="M24" i="131" s="1"/>
  <c r="L23" i="131"/>
  <c r="M23" i="131" s="1"/>
  <c r="L22" i="131"/>
  <c r="N22" i="131" s="1"/>
  <c r="L21" i="131"/>
  <c r="M21" i="131" s="1"/>
  <c r="L20" i="131"/>
  <c r="M20" i="131" s="1"/>
  <c r="L19" i="131"/>
  <c r="N19" i="131" s="1"/>
  <c r="L18" i="131"/>
  <c r="M18" i="131" s="1"/>
  <c r="L17" i="131"/>
  <c r="N17" i="131" s="1"/>
  <c r="L16" i="131"/>
  <c r="N16" i="131" s="1"/>
  <c r="L15" i="131"/>
  <c r="N15" i="131" s="1"/>
  <c r="L14" i="131"/>
  <c r="M14" i="131" s="1"/>
  <c r="L13" i="131"/>
  <c r="L12" i="131"/>
  <c r="L11" i="131"/>
  <c r="L10" i="131"/>
  <c r="L9" i="131"/>
  <c r="I14" i="112"/>
  <c r="L14" i="112" s="1"/>
  <c r="I13" i="112"/>
  <c r="L13" i="112" s="1"/>
  <c r="L12" i="112"/>
  <c r="M12" i="112" s="1"/>
  <c r="K11" i="112"/>
  <c r="K15" i="112" s="1"/>
  <c r="J11" i="112"/>
  <c r="J15" i="112" s="1"/>
  <c r="L10" i="112"/>
  <c r="P11" i="81"/>
  <c r="N34" i="113"/>
  <c r="M34" i="113"/>
  <c r="M33" i="113"/>
  <c r="N28" i="113"/>
  <c r="M28" i="113"/>
  <c r="N27" i="113"/>
  <c r="M27" i="113"/>
  <c r="N26" i="113"/>
  <c r="M26" i="113"/>
  <c r="N9" i="113"/>
  <c r="M9" i="113"/>
  <c r="I15" i="112" l="1"/>
  <c r="H15" i="134"/>
  <c r="H27" i="134"/>
  <c r="N9" i="131"/>
  <c r="L78" i="131"/>
  <c r="M78" i="131" s="1"/>
  <c r="M30" i="131"/>
  <c r="N30" i="131"/>
  <c r="N38" i="131"/>
  <c r="M38" i="131"/>
  <c r="N46" i="131"/>
  <c r="M46" i="131"/>
  <c r="N54" i="131"/>
  <c r="M54" i="131"/>
  <c r="N62" i="131"/>
  <c r="M62" i="131"/>
  <c r="N72" i="131"/>
  <c r="M72" i="131"/>
  <c r="M31" i="131"/>
  <c r="N31" i="131"/>
  <c r="M39" i="131"/>
  <c r="N39" i="131"/>
  <c r="N47" i="131"/>
  <c r="M47" i="131"/>
  <c r="N55" i="131"/>
  <c r="M55" i="131"/>
  <c r="N63" i="131"/>
  <c r="M63" i="131"/>
  <c r="N73" i="131"/>
  <c r="M73" i="131"/>
  <c r="M32" i="131"/>
  <c r="N32" i="131"/>
  <c r="M56" i="131"/>
  <c r="N56" i="131"/>
  <c r="M64" i="131"/>
  <c r="N64" i="131"/>
  <c r="M75" i="131"/>
  <c r="N75" i="131"/>
  <c r="M33" i="131"/>
  <c r="N33" i="131"/>
  <c r="M49" i="131"/>
  <c r="N49" i="131"/>
  <c r="M57" i="131"/>
  <c r="N57" i="131"/>
  <c r="N65" i="131"/>
  <c r="M65" i="131"/>
  <c r="N76" i="131"/>
  <c r="M76" i="131"/>
  <c r="N10" i="131"/>
  <c r="B16" i="134"/>
  <c r="N34" i="131"/>
  <c r="M34" i="131"/>
  <c r="M50" i="131"/>
  <c r="N50" i="131"/>
  <c r="M58" i="131"/>
  <c r="N58" i="131"/>
  <c r="N66" i="131"/>
  <c r="M66" i="131"/>
  <c r="N35" i="131"/>
  <c r="M35" i="131"/>
  <c r="N51" i="131"/>
  <c r="M51" i="131"/>
  <c r="N59" i="131"/>
  <c r="M59" i="131"/>
  <c r="N67" i="131"/>
  <c r="M67" i="131"/>
  <c r="N12" i="131"/>
  <c r="H39" i="134"/>
  <c r="M28" i="131"/>
  <c r="N28" i="131"/>
  <c r="M36" i="131"/>
  <c r="N36" i="131"/>
  <c r="M52" i="131"/>
  <c r="N52" i="131"/>
  <c r="M60" i="131"/>
  <c r="N60" i="131"/>
  <c r="N68" i="131"/>
  <c r="M68" i="131"/>
  <c r="M29" i="131"/>
  <c r="N29" i="131"/>
  <c r="M37" i="131"/>
  <c r="N37" i="131"/>
  <c r="N45" i="131"/>
  <c r="M45" i="131"/>
  <c r="N69" i="131"/>
  <c r="M69" i="131"/>
  <c r="N10" i="112"/>
  <c r="N42" i="131"/>
  <c r="M42" i="131"/>
  <c r="N43" i="131"/>
  <c r="M43" i="131"/>
  <c r="N44" i="131"/>
  <c r="M44" i="131"/>
  <c r="M41" i="131"/>
  <c r="N41" i="131"/>
  <c r="M20" i="110"/>
  <c r="P12" i="81"/>
  <c r="M15" i="131"/>
  <c r="N23" i="131"/>
  <c r="M17" i="131"/>
  <c r="M22" i="131"/>
  <c r="N26" i="131"/>
  <c r="N14" i="131"/>
  <c r="M19" i="131"/>
  <c r="N24" i="131"/>
  <c r="N11" i="131"/>
  <c r="M12" i="131"/>
  <c r="P24" i="81"/>
  <c r="M9" i="131"/>
  <c r="N20" i="131"/>
  <c r="M11" i="131"/>
  <c r="M10" i="131"/>
  <c r="N13" i="131"/>
  <c r="M16" i="131"/>
  <c r="N21" i="131"/>
  <c r="M25" i="131"/>
  <c r="M13" i="131"/>
  <c r="N12" i="112"/>
  <c r="N13" i="112"/>
  <c r="M13" i="112"/>
  <c r="M14" i="112"/>
  <c r="N14" i="112"/>
  <c r="L11" i="112"/>
  <c r="L15" i="112" s="1"/>
  <c r="M10" i="112"/>
  <c r="K25" i="118"/>
  <c r="J25" i="118"/>
  <c r="L24" i="118"/>
  <c r="N24" i="118" s="1"/>
  <c r="L23" i="118"/>
  <c r="M23" i="118" s="1"/>
  <c r="L22" i="118"/>
  <c r="N22" i="118" s="1"/>
  <c r="L21" i="118"/>
  <c r="N21" i="118" s="1"/>
  <c r="L20" i="118"/>
  <c r="N20" i="118" s="1"/>
  <c r="L19" i="118"/>
  <c r="N19" i="118" s="1"/>
  <c r="L18" i="118"/>
  <c r="N18" i="118" s="1"/>
  <c r="L17" i="118"/>
  <c r="N17" i="118" s="1"/>
  <c r="L16" i="118"/>
  <c r="L14" i="118"/>
  <c r="N14" i="118" s="1"/>
  <c r="L12" i="118"/>
  <c r="N12" i="118" s="1"/>
  <c r="L11" i="118"/>
  <c r="N11" i="118" s="1"/>
  <c r="L10" i="118"/>
  <c r="L9" i="118"/>
  <c r="M14" i="109"/>
  <c r="N14" i="109"/>
  <c r="N13" i="109"/>
  <c r="M13" i="109"/>
  <c r="M12" i="109"/>
  <c r="N11" i="109"/>
  <c r="M11" i="109"/>
  <c r="N10" i="109"/>
  <c r="M10" i="109"/>
  <c r="N9" i="109"/>
  <c r="M9" i="109"/>
  <c r="L25" i="118" l="1"/>
  <c r="M9" i="118"/>
  <c r="N16" i="118"/>
  <c r="M16" i="118"/>
  <c r="P19" i="81"/>
  <c r="P20" i="81"/>
  <c r="N78" i="131"/>
  <c r="N15" i="112"/>
  <c r="M15" i="112"/>
  <c r="N11" i="112"/>
  <c r="M11" i="112"/>
  <c r="M18" i="118"/>
  <c r="N23" i="118"/>
  <c r="N9" i="118"/>
  <c r="M12" i="118"/>
  <c r="M21" i="118"/>
  <c r="M24" i="118"/>
  <c r="M10" i="118"/>
  <c r="M19" i="118"/>
  <c r="N10" i="118"/>
  <c r="M14" i="118"/>
  <c r="M22" i="118"/>
  <c r="M17" i="118"/>
  <c r="M11" i="118"/>
  <c r="M20" i="118"/>
  <c r="N12" i="109"/>
  <c r="N22" i="120"/>
  <c r="M22" i="120"/>
  <c r="N21" i="120"/>
  <c r="N17" i="120"/>
  <c r="N16" i="120"/>
  <c r="M15" i="120"/>
  <c r="N14" i="120"/>
  <c r="N13" i="120"/>
  <c r="N12" i="120"/>
  <c r="L9" i="120"/>
  <c r="L27" i="120" s="1"/>
  <c r="L24" i="130"/>
  <c r="L58" i="130"/>
  <c r="L57" i="130"/>
  <c r="L56" i="130"/>
  <c r="L55" i="130"/>
  <c r="L54" i="130"/>
  <c r="L53" i="130"/>
  <c r="L52" i="130"/>
  <c r="L51" i="130"/>
  <c r="H22" i="134" s="1"/>
  <c r="N45" i="130"/>
  <c r="L44" i="130"/>
  <c r="N44" i="130" s="1"/>
  <c r="L43" i="130"/>
  <c r="N43" i="130" s="1"/>
  <c r="L42" i="130"/>
  <c r="L41" i="130"/>
  <c r="L40" i="130"/>
  <c r="N40" i="130" s="1"/>
  <c r="L38" i="130"/>
  <c r="L39" i="130" s="1"/>
  <c r="G38" i="130"/>
  <c r="E40" i="134" s="1"/>
  <c r="L37" i="130"/>
  <c r="M37" i="130" s="1"/>
  <c r="L36" i="130"/>
  <c r="N36" i="130" s="1"/>
  <c r="L35" i="130"/>
  <c r="M35" i="130" s="1"/>
  <c r="L34" i="130"/>
  <c r="M34" i="130" s="1"/>
  <c r="L33" i="130"/>
  <c r="N33" i="130" s="1"/>
  <c r="L32" i="130"/>
  <c r="N32" i="130" s="1"/>
  <c r="L31" i="130"/>
  <c r="N31" i="130" s="1"/>
  <c r="L30" i="130"/>
  <c r="M30" i="130" s="1"/>
  <c r="L29" i="130"/>
  <c r="M29" i="130" s="1"/>
  <c r="L28" i="130"/>
  <c r="N28" i="130" s="1"/>
  <c r="K26" i="130"/>
  <c r="J26" i="130"/>
  <c r="I26" i="130"/>
  <c r="H26" i="130"/>
  <c r="G26" i="130"/>
  <c r="F26" i="130"/>
  <c r="E26" i="130"/>
  <c r="D26" i="130"/>
  <c r="L23" i="130"/>
  <c r="L22" i="130"/>
  <c r="N22" i="130" s="1"/>
  <c r="L21" i="130"/>
  <c r="N21" i="130" s="1"/>
  <c r="L20" i="130"/>
  <c r="M20" i="130" s="1"/>
  <c r="L19" i="130"/>
  <c r="N19" i="130" s="1"/>
  <c r="L18" i="130"/>
  <c r="N18" i="130" s="1"/>
  <c r="L17" i="130"/>
  <c r="N17" i="130" s="1"/>
  <c r="L16" i="130"/>
  <c r="M16" i="130" s="1"/>
  <c r="L15" i="130"/>
  <c r="M15" i="130" s="1"/>
  <c r="L14" i="130"/>
  <c r="N14" i="130" s="1"/>
  <c r="L13" i="130"/>
  <c r="N13" i="130" s="1"/>
  <c r="L12" i="130"/>
  <c r="M12" i="130" s="1"/>
  <c r="L11" i="130"/>
  <c r="N11" i="130" s="1"/>
  <c r="K9" i="130"/>
  <c r="J9" i="130"/>
  <c r="I9" i="130"/>
  <c r="H9" i="130"/>
  <c r="G9" i="130"/>
  <c r="F9" i="130"/>
  <c r="E9" i="130"/>
  <c r="H60" i="130" l="1"/>
  <c r="G60" i="130"/>
  <c r="D60" i="130"/>
  <c r="I60" i="130"/>
  <c r="G28" i="134"/>
  <c r="H28" i="134" s="1"/>
  <c r="K60" i="130"/>
  <c r="E60" i="130"/>
  <c r="J60" i="130"/>
  <c r="F60" i="130"/>
  <c r="N38" i="130"/>
  <c r="M57" i="130"/>
  <c r="N57" i="130"/>
  <c r="M58" i="130"/>
  <c r="N58" i="130"/>
  <c r="M54" i="130"/>
  <c r="N54" i="130"/>
  <c r="M51" i="130"/>
  <c r="N51" i="130"/>
  <c r="N18" i="120"/>
  <c r="M25" i="118"/>
  <c r="P14" i="81"/>
  <c r="M11" i="130"/>
  <c r="N29" i="130"/>
  <c r="M19" i="120"/>
  <c r="N19" i="120"/>
  <c r="N15" i="120"/>
  <c r="M20" i="120"/>
  <c r="P10" i="81"/>
  <c r="N20" i="120"/>
  <c r="M18" i="120"/>
  <c r="N25" i="118"/>
  <c r="M13" i="120"/>
  <c r="M16" i="120"/>
  <c r="M17" i="120"/>
  <c r="M21" i="120"/>
  <c r="M12" i="120"/>
  <c r="M25" i="130"/>
  <c r="M38" i="130"/>
  <c r="M23" i="130"/>
  <c r="N30" i="130"/>
  <c r="N37" i="130"/>
  <c r="M33" i="130"/>
  <c r="N15" i="130"/>
  <c r="M39" i="130"/>
  <c r="N39" i="130"/>
  <c r="M36" i="130"/>
  <c r="L9" i="130"/>
  <c r="M19" i="130"/>
  <c r="M45" i="130"/>
  <c r="N20" i="130"/>
  <c r="N16" i="130"/>
  <c r="N34" i="130"/>
  <c r="N12" i="130"/>
  <c r="M18" i="130"/>
  <c r="L26" i="130"/>
  <c r="M32" i="130"/>
  <c r="M13" i="130"/>
  <c r="M21" i="130"/>
  <c r="M40" i="130"/>
  <c r="M43" i="130"/>
  <c r="M14" i="130"/>
  <c r="M22" i="130"/>
  <c r="M28" i="130"/>
  <c r="M44" i="130"/>
  <c r="M17" i="130"/>
  <c r="M31" i="130"/>
  <c r="N9" i="130" l="1"/>
  <c r="L60" i="130"/>
  <c r="H10" i="134"/>
  <c r="G16" i="134"/>
  <c r="H16" i="134" s="1"/>
  <c r="H34" i="134"/>
  <c r="G40" i="134"/>
  <c r="H40" i="134" s="1"/>
  <c r="N27" i="120"/>
  <c r="M27" i="120"/>
  <c r="M9" i="130"/>
  <c r="N26" i="130"/>
  <c r="M26" i="130"/>
  <c r="M60" i="130" l="1"/>
  <c r="N60" i="130"/>
  <c r="J32" i="119" l="1"/>
  <c r="I32" i="119"/>
  <c r="H32" i="119"/>
  <c r="G32" i="119"/>
  <c r="F32" i="119"/>
  <c r="E32" i="119"/>
  <c r="D32" i="119"/>
  <c r="C32" i="119"/>
  <c r="K28" i="119"/>
  <c r="M28" i="119" s="1"/>
  <c r="K27" i="119"/>
  <c r="M27" i="119" s="1"/>
  <c r="K26" i="119"/>
  <c r="M26" i="119" s="1"/>
  <c r="K25" i="119"/>
  <c r="M25" i="119" s="1"/>
  <c r="K24" i="119"/>
  <c r="M24" i="119" s="1"/>
  <c r="K23" i="119"/>
  <c r="M23" i="119" s="1"/>
  <c r="K22" i="119"/>
  <c r="K21" i="119"/>
  <c r="M21" i="119" s="1"/>
  <c r="K20" i="119"/>
  <c r="M20" i="119" s="1"/>
  <c r="K19" i="119"/>
  <c r="K18" i="119"/>
  <c r="M18" i="119" s="1"/>
  <c r="K17" i="119"/>
  <c r="K16" i="119"/>
  <c r="K15" i="119"/>
  <c r="M15" i="119" s="1"/>
  <c r="K14" i="119"/>
  <c r="K13" i="119"/>
  <c r="M13" i="119" s="1"/>
  <c r="K12" i="119"/>
  <c r="M12" i="119" s="1"/>
  <c r="K11" i="119"/>
  <c r="K10" i="119"/>
  <c r="M10" i="119" s="1"/>
  <c r="K9" i="119"/>
  <c r="M9" i="119" s="1"/>
  <c r="K31" i="119"/>
  <c r="M31" i="119" s="1"/>
  <c r="K30" i="119"/>
  <c r="L30" i="119" s="1"/>
  <c r="K29" i="119"/>
  <c r="M29" i="119" s="1"/>
  <c r="D27" i="80"/>
  <c r="D15" i="2"/>
  <c r="D25" i="2" s="1"/>
  <c r="E27" i="80"/>
  <c r="I27" i="80" s="1"/>
  <c r="M30" i="119" l="1"/>
  <c r="L29" i="119"/>
  <c r="K32" i="119"/>
  <c r="L31" i="119"/>
  <c r="J12" i="121"/>
  <c r="I12" i="121"/>
  <c r="H12" i="121"/>
  <c r="G12" i="121"/>
  <c r="F12" i="121"/>
  <c r="E12" i="121"/>
  <c r="D12" i="121"/>
  <c r="C12" i="121"/>
  <c r="K11" i="121"/>
  <c r="M11" i="121" s="1"/>
  <c r="K10" i="121"/>
  <c r="M10" i="121" s="1"/>
  <c r="K9" i="121"/>
  <c r="M9" i="121" s="1"/>
  <c r="K12" i="121" l="1"/>
  <c r="M32" i="119"/>
  <c r="L32" i="119"/>
  <c r="L9" i="121"/>
  <c r="L10" i="121"/>
  <c r="L11" i="121"/>
  <c r="C24" i="12"/>
  <c r="C25" i="12"/>
  <c r="M12" i="121" l="1"/>
  <c r="L12" i="121"/>
  <c r="C22" i="47"/>
  <c r="G30" i="4" l="1"/>
  <c r="B24" i="47"/>
  <c r="B31" i="47" s="1"/>
  <c r="B20" i="16"/>
  <c r="B19" i="16"/>
  <c r="C32" i="80"/>
  <c r="C27" i="80"/>
  <c r="C28" i="80" s="1"/>
  <c r="I28" i="2" l="1"/>
  <c r="H34" i="47" l="1"/>
  <c r="D16" i="108" l="1"/>
  <c r="D34" i="80"/>
  <c r="O29" i="81" l="1"/>
  <c r="N29" i="81"/>
  <c r="L29" i="81"/>
  <c r="K29" i="81"/>
  <c r="J29" i="81"/>
  <c r="H29" i="81"/>
  <c r="G29" i="81"/>
  <c r="F29" i="81"/>
  <c r="D29" i="81"/>
  <c r="C29" i="81"/>
  <c r="B29" i="81"/>
  <c r="G34" i="80" l="1"/>
  <c r="F34" i="80"/>
  <c r="C34" i="80"/>
  <c r="I13" i="2"/>
  <c r="F26" i="12" l="1"/>
  <c r="G26" i="12"/>
  <c r="E26" i="12"/>
  <c r="H60" i="47" l="1"/>
  <c r="C26" i="82" l="1"/>
  <c r="H10" i="4" l="1"/>
  <c r="H19" i="4"/>
  <c r="H15" i="4"/>
  <c r="I29" i="81"/>
  <c r="M29" i="81"/>
  <c r="F24" i="47"/>
  <c r="E24" i="47"/>
  <c r="E31" i="47" s="1"/>
  <c r="I12" i="2"/>
  <c r="I11" i="2"/>
  <c r="I10" i="2"/>
  <c r="I9" i="2"/>
  <c r="H14" i="17"/>
  <c r="H12" i="17"/>
  <c r="H11" i="17"/>
  <c r="H10" i="17"/>
  <c r="H9" i="17"/>
  <c r="G15" i="17"/>
  <c r="E15" i="17"/>
  <c r="H11" i="16"/>
  <c r="H10" i="16"/>
  <c r="H9" i="16"/>
  <c r="G21" i="16"/>
  <c r="F21" i="16"/>
  <c r="E21" i="16"/>
  <c r="G12" i="16"/>
  <c r="H32" i="80" s="1"/>
  <c r="I32" i="80" s="1"/>
  <c r="F12" i="16"/>
  <c r="E12" i="16"/>
  <c r="I9" i="80"/>
  <c r="F13" i="12"/>
  <c r="E13" i="12"/>
  <c r="H29" i="4"/>
  <c r="H27" i="4"/>
  <c r="H25" i="4"/>
  <c r="H24" i="4"/>
  <c r="H22" i="4"/>
  <c r="H20" i="4"/>
  <c r="H18" i="4"/>
  <c r="H17" i="4"/>
  <c r="H16" i="4"/>
  <c r="H14" i="4"/>
  <c r="H13" i="4"/>
  <c r="H12" i="4"/>
  <c r="H9" i="4"/>
  <c r="F30" i="4"/>
  <c r="E30" i="4"/>
  <c r="G10" i="12" l="1"/>
  <c r="G13" i="12" s="1"/>
  <c r="H39" i="47"/>
  <c r="G24" i="47"/>
  <c r="G31" i="47" s="1"/>
  <c r="H14" i="47"/>
  <c r="E33" i="4"/>
  <c r="F33" i="4"/>
  <c r="F57" i="47" s="1"/>
  <c r="F63" i="47" s="1"/>
  <c r="F31" i="47"/>
  <c r="H53" i="47"/>
  <c r="G57" i="47"/>
  <c r="G63" i="47" s="1"/>
  <c r="G65" i="47" s="1"/>
  <c r="F17" i="12"/>
  <c r="F19" i="12" s="1"/>
  <c r="F28" i="12" s="1"/>
  <c r="E57" i="47"/>
  <c r="H34" i="80"/>
  <c r="F65" i="47" l="1"/>
  <c r="E17" i="12"/>
  <c r="E19" i="12" s="1"/>
  <c r="E28" i="12" s="1"/>
  <c r="E63" i="47"/>
  <c r="E29" i="81"/>
  <c r="E65" i="47" l="1"/>
  <c r="C41" i="82"/>
  <c r="H11" i="4"/>
  <c r="G17" i="12" l="1"/>
  <c r="G19" i="12" s="1"/>
  <c r="G28" i="12" s="1"/>
  <c r="C57" i="47"/>
  <c r="D25" i="12" l="1"/>
  <c r="B25" i="12"/>
  <c r="C23" i="12"/>
  <c r="B23" i="12"/>
  <c r="C21" i="12"/>
  <c r="B21" i="12"/>
  <c r="C12" i="12"/>
  <c r="B12" i="12"/>
  <c r="C11" i="12"/>
  <c r="B11" i="12"/>
  <c r="C10" i="12"/>
  <c r="B10" i="12"/>
  <c r="C9" i="12"/>
  <c r="B9" i="12"/>
  <c r="D12" i="12"/>
  <c r="H12" i="12" s="1"/>
  <c r="D11" i="12"/>
  <c r="H11" i="12" s="1"/>
  <c r="D10" i="12"/>
  <c r="H10" i="12" s="1"/>
  <c r="D9" i="12"/>
  <c r="H9" i="12" s="1"/>
  <c r="C26" i="12" l="1"/>
  <c r="H19" i="16"/>
  <c r="H20" i="16"/>
  <c r="E34" i="80" l="1"/>
  <c r="I34" i="80" s="1"/>
  <c r="D21" i="12" l="1"/>
  <c r="D23" i="12"/>
  <c r="H23" i="12" s="1"/>
  <c r="H21" i="12" l="1"/>
  <c r="D26" i="12"/>
  <c r="E25" i="82"/>
  <c r="E24" i="82"/>
  <c r="E23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D26" i="82"/>
  <c r="B26" i="82"/>
  <c r="E35" i="82" l="1"/>
  <c r="P29" i="81"/>
  <c r="D30" i="4"/>
  <c r="C30" i="4"/>
  <c r="D41" i="82" l="1"/>
  <c r="B48" i="82" s="1"/>
  <c r="E41" i="82"/>
  <c r="D57" i="47"/>
  <c r="D33" i="4"/>
  <c r="H30" i="4"/>
  <c r="B30" i="4"/>
  <c r="B34" i="47" s="1"/>
  <c r="B57" i="47" s="1"/>
  <c r="I25" i="2"/>
  <c r="B63" i="47" l="1"/>
  <c r="H57" i="47"/>
  <c r="H15" i="12"/>
  <c r="D63" i="47"/>
  <c r="H16" i="12"/>
  <c r="D15" i="17"/>
  <c r="H15" i="17" s="1"/>
  <c r="C15" i="17"/>
  <c r="D21" i="16"/>
  <c r="H21" i="16" s="1"/>
  <c r="C21" i="16"/>
  <c r="D12" i="16"/>
  <c r="H12" i="16" s="1"/>
  <c r="C12" i="16"/>
  <c r="C33" i="4"/>
  <c r="D24" i="47"/>
  <c r="H24" i="47" s="1"/>
  <c r="C24" i="47"/>
  <c r="C31" i="47" s="1"/>
  <c r="H63" i="47" l="1"/>
  <c r="B65" i="47"/>
  <c r="D31" i="47"/>
  <c r="H31" i="47" s="1"/>
  <c r="C63" i="47"/>
  <c r="C17" i="12"/>
  <c r="D17" i="12"/>
  <c r="H17" i="12" s="1"/>
  <c r="H26" i="12"/>
  <c r="D13" i="12"/>
  <c r="H13" i="12" s="1"/>
  <c r="C13" i="12"/>
  <c r="C65" i="47" l="1"/>
  <c r="C19" i="12"/>
  <c r="C28" i="12" s="1"/>
  <c r="D19" i="12"/>
  <c r="D65" i="47"/>
  <c r="H74" i="47" l="1"/>
  <c r="D28" i="12"/>
  <c r="H19" i="12"/>
  <c r="B17" i="12" l="1"/>
  <c r="B26" i="12" l="1"/>
  <c r="B33" i="4"/>
  <c r="B21" i="16"/>
  <c r="B12" i="16"/>
  <c r="B15" i="17"/>
  <c r="B13" i="12"/>
  <c r="B19" i="12" l="1"/>
  <c r="B28" i="12" l="1"/>
  <c r="E22" i="82" l="1"/>
  <c r="E26" i="82" s="1"/>
  <c r="B41" i="82"/>
</calcChain>
</file>

<file path=xl/sharedStrings.xml><?xml version="1.0" encoding="utf-8"?>
<sst xmlns="http://schemas.openxmlformats.org/spreadsheetml/2006/main" count="1523" uniqueCount="509">
  <si>
    <t>v tis. Kč</t>
  </si>
  <si>
    <t>Ukazatel</t>
  </si>
  <si>
    <t>Příjmy</t>
  </si>
  <si>
    <t>Podíly na daních (třída 1)</t>
  </si>
  <si>
    <t>Příjmy z úroků na bankovních účtech (třída 2)</t>
  </si>
  <si>
    <t>Příjmy z pronájmu majetku příspěvkových organizací (třída 2)</t>
  </si>
  <si>
    <t>Příjmy z prodeje majetku (třída 3)</t>
  </si>
  <si>
    <t>Finanční dotační vztah státního rozpočtu k rozpočtu kraje na výkon přenesené působnosti (třída 4)</t>
  </si>
  <si>
    <t>Dotace ze státního rozpočtu - školství (třída 4)</t>
  </si>
  <si>
    <t>Příjmy celkem</t>
  </si>
  <si>
    <t>Financování ve zdrojích</t>
  </si>
  <si>
    <t>Zdroje celkem</t>
  </si>
  <si>
    <t>V ý d a j e</t>
  </si>
  <si>
    <t>Běžné výdaje kapitol</t>
  </si>
  <si>
    <t>Výdaje celkem</t>
  </si>
  <si>
    <t>Financování ve výdajích</t>
  </si>
  <si>
    <t>Splátky přijatého úvěru kraje (jistina)</t>
  </si>
  <si>
    <t>Celková bilance hospodaření</t>
  </si>
  <si>
    <t>01</t>
  </si>
  <si>
    <t>Středočeský Fond podpory dobrovolných hasičů a složek IZS</t>
  </si>
  <si>
    <t>06</t>
  </si>
  <si>
    <t xml:space="preserve">Středočeský Fond kultury a obnovy památek </t>
  </si>
  <si>
    <t>08</t>
  </si>
  <si>
    <t>Středočeský Fond rozvoje obcí a měst</t>
  </si>
  <si>
    <t>10</t>
  </si>
  <si>
    <t xml:space="preserve">Středočeský Fond životního prostředí a zemědělství </t>
  </si>
  <si>
    <t>17</t>
  </si>
  <si>
    <t>Kapitola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</si>
  <si>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</si>
  <si>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</si>
  <si>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</si>
  <si>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</si>
  <si>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</si>
  <si>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</si>
  <si>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</si>
  <si>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Evropská integrace</t>
  </si>
  <si>
    <t>10 - Životní prostředí a zemědělství</t>
  </si>
  <si>
    <t>11 - Správa majetku</t>
  </si>
  <si>
    <t>13 - Krajský investor</t>
  </si>
  <si>
    <t>17 - Sociální věci</t>
  </si>
  <si>
    <t>23 - Ostatní</t>
  </si>
  <si>
    <t xml:space="preserve">Přehled běžných výdajů jednotlivých kapitol </t>
  </si>
  <si>
    <t xml:space="preserve">Sumář příjmů a výdajů </t>
  </si>
  <si>
    <t>Financování celkem</t>
  </si>
  <si>
    <t>Saldo (příjmy - výdaje)</t>
  </si>
  <si>
    <t xml:space="preserve">Výdaje celkem </t>
  </si>
  <si>
    <t>Třída 3 - Kapitálové příjmy</t>
  </si>
  <si>
    <t>Třída 2 - Nedaňové příjmy</t>
  </si>
  <si>
    <t>Třída 1 - Daňové příjmy</t>
  </si>
  <si>
    <t xml:space="preserve">Celková bilance hospodaření </t>
  </si>
  <si>
    <t xml:space="preserve">Splátky úroků z přijatého úvěru kraje </t>
  </si>
  <si>
    <t>Dluhová služba za úvěr kraje z roku 2007</t>
  </si>
  <si>
    <t xml:space="preserve">Dluhová služba za úvěr nemocnic celkem </t>
  </si>
  <si>
    <t>Oblastní nemocnice Kladno</t>
  </si>
  <si>
    <t>Oblastní nemocnice Kolín</t>
  </si>
  <si>
    <t>Oblastní nemocnice Příbram</t>
  </si>
  <si>
    <t>Dluhová služba za úvěr nemocnic z roku 2008</t>
  </si>
  <si>
    <t>Příjmy z pronájmu majetku PO celkem</t>
  </si>
  <si>
    <t>Příjmy z pronájmu majetku příspěvkových organizací - ÚZ 40</t>
  </si>
  <si>
    <t>Středočeské Fondy - grantové a dotační výdaje kapitol</t>
  </si>
  <si>
    <t>Havarijní fond pro ochranu jakosti vod SK (kapitola 10)</t>
  </si>
  <si>
    <t>Odložené financování v oblasti dopravy - PO KSÚS (kapitola 04)</t>
  </si>
  <si>
    <t>Dluhová služba za úvěr nemocnic (kapitola 07)</t>
  </si>
  <si>
    <t>Dotace ze státního rozpočtu - školství (kapitola 05)</t>
  </si>
  <si>
    <t>14 - Řízení lidských zdrojů</t>
  </si>
  <si>
    <t>16 - Správní agendy</t>
  </si>
  <si>
    <t>Správní poplatky (třída 1)</t>
  </si>
  <si>
    <t>Dluhová služba za úvěr kraje celkem</t>
  </si>
  <si>
    <t>Středočeské Fondy celkem</t>
  </si>
  <si>
    <t>Zůstatek prostředků z minulého roku z poplatků za odběr podzemních vod - účelové prostředky Havarijního fondu pro ochranu jakosti vod SK</t>
  </si>
  <si>
    <t>Běžné výdaje kapitol celkem</t>
  </si>
  <si>
    <t>-</t>
  </si>
  <si>
    <t>Dotace ze státního rozpočtu - ostatní oblasti rozpočtu (třída 4)</t>
  </si>
  <si>
    <t>Příjmy z převodu z účtů a z fondů (třída 4)</t>
  </si>
  <si>
    <t>Ostatní nedaňové příjmy (třída 2)</t>
  </si>
  <si>
    <t xml:space="preserve">Dotace ze státního rozpočtu - ostatní oblasti rozpočtu </t>
  </si>
  <si>
    <t>Finanční vypořádání minulých let se státním rozpočtem (kapitola 21)</t>
  </si>
  <si>
    <t>20 - Sociální fond</t>
  </si>
  <si>
    <t>Zapojení zůstatku hospodaření z minulých let *)</t>
  </si>
  <si>
    <t>Opravné položky</t>
  </si>
  <si>
    <t xml:space="preserve">*) změna stavu finančních prostředků na účtech představuje ve schváleném a upraveném rozpočtu zapojení prostředků (zůstatku) z minulých let. Ve skutečnosti představuje financování změnu stavu na bankovních účtech. Příjmy - výdaje = přebytek(+) / schodek(-) = financování -/+. Tzn. rozpočet přebytkový tj. kladný rozdíl mezi příjmy a výdaji, financování je rovno minus (stav ke konci vykazovaného období je vyšší než stav k 1.1.), rozpočet schodkový, tj záporný rozdíl příjmů a výdajů, financování je plusové (stav vykazovaného období je nižší než stav k 1.1.). </t>
  </si>
  <si>
    <t>07</t>
  </si>
  <si>
    <t>Středočeské Fondy v rámci jednotlivých kapitol</t>
  </si>
  <si>
    <t>Celkem běžné výdaje kapitol po konsolidaci</t>
  </si>
  <si>
    <t>Dotace ze státního rozpočtu a ostatních veřejných rozpočtů</t>
  </si>
  <si>
    <t>Dluhová služba za úvěr nemocnic</t>
  </si>
  <si>
    <t>Předfinancování a kofinancování projektů EU a ostatní související výdaje s projekty EU</t>
  </si>
  <si>
    <t>Výdaje na reprodukci majetku příspěvkových organizací (financované z vybraných příjmů z pronájmu)</t>
  </si>
  <si>
    <t>Kapitálové výdaje</t>
  </si>
  <si>
    <t>Třída 5 - Běžné výdaje</t>
  </si>
  <si>
    <t>Třída 6 - Kapitálové výdaje</t>
  </si>
  <si>
    <t>Kapitálové výdaje celkem</t>
  </si>
  <si>
    <t>Středočeský Humanitární fond</t>
  </si>
  <si>
    <t>Středočeský Fond obnovy venkova</t>
  </si>
  <si>
    <t>Středočeský Infrastrukturní fond: Tematické zadání Životní prostředí</t>
  </si>
  <si>
    <t>15 - Územní a stavební řízení</t>
  </si>
  <si>
    <t>18 - Legislativně právní</t>
  </si>
  <si>
    <t>24 - Podpora příspěvkových organizací</t>
  </si>
  <si>
    <t>25 - Bezpečnost a prevence</t>
  </si>
  <si>
    <t>Celkem</t>
  </si>
  <si>
    <t>Běžné výdaje celkem</t>
  </si>
  <si>
    <t xml:space="preserve">z toho: mzdové výdaje </t>
  </si>
  <si>
    <t>z toho: výdaje na opravy a údržbu majetku</t>
  </si>
  <si>
    <t>Přehled běžných výdajů jednotlivých kapitol - obligatorní versus fakultativní výdaje</t>
  </si>
  <si>
    <t>Paragraf</t>
  </si>
  <si>
    <t>Poplatky za znečišťování ovzduší (třída 1)</t>
  </si>
  <si>
    <t>Název</t>
  </si>
  <si>
    <t>02</t>
  </si>
  <si>
    <t>6172</t>
  </si>
  <si>
    <t>Činnost regionální správy - Poskytnuté neinvestiční příspěvky a náhrady</t>
  </si>
  <si>
    <t>13</t>
  </si>
  <si>
    <t>16</t>
  </si>
  <si>
    <t>6115</t>
  </si>
  <si>
    <t>Volby do zastupitelstev územních samosprávných celků - Ostatní neinvestiční výdaje jinde nezařazené</t>
  </si>
  <si>
    <t>Předfinancování a kofinancování projektů spolufinancovaných z národních zdrojů a ostatní související výdaje s projekty z národních zdrojů (kapitola 23 - Ostatní)</t>
  </si>
  <si>
    <t>09</t>
  </si>
  <si>
    <t>18</t>
  </si>
  <si>
    <t>Činnost regionální správy - Konzultační, poradenské a právní služby</t>
  </si>
  <si>
    <t>Poplatky za odebrané množství podzemní vody (třída 2)</t>
  </si>
  <si>
    <t>Zesmluvněné dotace na vodohospodářskou infrastrukturu vyplácené prostřednictvím Středočeského Fondu životního prostředí a zemědělství - financované z vybraných poplatků za odebrané množství podzemní vody (kapitola 10)</t>
  </si>
  <si>
    <t>Výdaje na krytí očekávaných výdajů kapitol - vedené na kapitole 23 - Ostatní</t>
  </si>
  <si>
    <t>Předfinancování a kofinancování projektů spolufinancovaných z EU/EHP a ostatní související výdaje s projekty EU/EHP (kapitola 23 - Ostatní)</t>
  </si>
  <si>
    <t xml:space="preserve">z toho: </t>
  </si>
  <si>
    <t>Třída 4 - Přijaté transfery</t>
  </si>
  <si>
    <t>Výdaje na krytí očekávaných výdajů kapitol celkem</t>
  </si>
  <si>
    <t>Přehled výdajů jednotlivých kapitol - běžné výdaje, mzdové výdaje, výdaje na opravy a údržbu majetku, investiční výdaje a výdaje na projekty EU/EHP a z národních zdrojů</t>
  </si>
  <si>
    <t>Zesmluvněné dotace na vodohospodářskou infrastrukturu vyplácené prostřednictvím Středočeského Fondu životního prostředí a zemědělství - financované z vybraných poplatků za odebrané množství podzemní vody</t>
  </si>
  <si>
    <t xml:space="preserve">Zůstatek hospodaření z minulého roku </t>
  </si>
  <si>
    <t>Rozpočet 2019 - semifakultativní výdaje</t>
  </si>
  <si>
    <t>Rozpočet 2019 - fakultativní výdaje</t>
  </si>
  <si>
    <t>05 - Školství</t>
  </si>
  <si>
    <t>Zdůvodnění požadavku navýšení</t>
  </si>
  <si>
    <t>Rozpočet 2019</t>
  </si>
  <si>
    <t>z toho:</t>
  </si>
  <si>
    <t xml:space="preserve">01 - Činnost Zastupitelstva </t>
  </si>
  <si>
    <t>02 - Činnost Krajského úřadu</t>
  </si>
  <si>
    <t>Výdaje na havárie</t>
  </si>
  <si>
    <t>Předfinancování a kofinancování projektů spolufinancovaných z národních zdrojů a ostatní související výdaje s projekty z národních zdrojů</t>
  </si>
  <si>
    <t>Činnost regionální správy - Odvody za neplnění povinnosti zaměstnávat zdravotně postižené</t>
  </si>
  <si>
    <t>Činnost regionální správy - Výdaje na financování externího administrátora veřejných zakázek</t>
  </si>
  <si>
    <t>Běžné výdaje jednotlivých kapitol</t>
  </si>
  <si>
    <t xml:space="preserve">Výdaje na reprodukci majetku příspěvkových organizací - financované z vybraných příjmů z pronájmu </t>
  </si>
  <si>
    <t>Semifakultativní a fakultativní výdaje celkem</t>
  </si>
  <si>
    <t xml:space="preserve">Středočeské Fondy v rámci jednotlivých kapitol </t>
  </si>
  <si>
    <t>Ostatní výdaje kryté daňovými příjmy (např. Předfinancování a kofinancování projektů spolufinancovaných z EU/národních zdrojů a ostatní související výdaje s projekty z EU/národních zdrojů, Dluhová služba za úvěr nemocnic, Splátky úroků z přijatého úvěru kraje, výdaje na havárie, Rezerva SK)</t>
  </si>
  <si>
    <t xml:space="preserve">Specifické rezervy </t>
  </si>
  <si>
    <t>*) Simulace přidělení části výdajů rozpočtu Středočeského kraje k daňovým příjmům.</t>
  </si>
  <si>
    <t>Kapitálové výdaje - jednotlivé kapitoly (bez prostředků na krytí Plánu investic) **)</t>
  </si>
  <si>
    <t>Středočeský Fond podpory včasné přípravy projektů EU 2021+ a NIP</t>
  </si>
  <si>
    <t>Rozpočet 2020</t>
  </si>
  <si>
    <t>Rozpočet Středočeského kraje na rok 2020</t>
  </si>
  <si>
    <t>% 2020/2019 schv. rozp.</t>
  </si>
  <si>
    <t>Maximální částka v roce 2020</t>
  </si>
  <si>
    <t>Revolvingový termínovaný vklad</t>
  </si>
  <si>
    <t>Rozpočet Středočeského kraje na rok 2020 -  běžné výdaje kapitol</t>
  </si>
  <si>
    <t>Kapitola 23 - Ostatní</t>
  </si>
  <si>
    <t>Oblast rozpočtu</t>
  </si>
  <si>
    <t>% 2020/2019 upr. rozp.</t>
  </si>
  <si>
    <t xml:space="preserve">Běžné výdaje </t>
  </si>
  <si>
    <t xml:space="preserve"> -</t>
  </si>
  <si>
    <t>Činnost regionální správy</t>
  </si>
  <si>
    <t>Obecné příjmy a výdaje z finančních operací</t>
  </si>
  <si>
    <t>Ostatní finanční operace</t>
  </si>
  <si>
    <t>Schválený rozpočet</t>
  </si>
  <si>
    <t>Rozpočet 2018</t>
  </si>
  <si>
    <t xml:space="preserve">Rozpočet 2020 </t>
  </si>
  <si>
    <t>obligatorní výdaje</t>
  </si>
  <si>
    <t xml:space="preserve"> semifakultativní výdaje</t>
  </si>
  <si>
    <t>fakultativní výdaje</t>
  </si>
  <si>
    <t xml:space="preserve">Schválený rozpočet </t>
  </si>
  <si>
    <t>Skutečnost k 31.12.</t>
  </si>
  <si>
    <t>x</t>
  </si>
  <si>
    <t>Rozvoj ICT nástrojů pro řízení a podporu příspěvkových organizací</t>
  </si>
  <si>
    <t>Školení příspěvkových organizací</t>
  </si>
  <si>
    <t>Cestovní ruch</t>
  </si>
  <si>
    <t>Silnice</t>
  </si>
  <si>
    <t>Ostatní záležitosti pozemních komunikací</t>
  </si>
  <si>
    <t xml:space="preserve">Bezpečnost silničního provozu </t>
  </si>
  <si>
    <t>Ostatní záležitosti v dopravě</t>
  </si>
  <si>
    <t>Pitná voda</t>
  </si>
  <si>
    <t>Gymnázia</t>
  </si>
  <si>
    <t>Střední odborné školy</t>
  </si>
  <si>
    <t>Dětské domovy</t>
  </si>
  <si>
    <t xml:space="preserve">Ostatní správa ve vzdělání </t>
  </si>
  <si>
    <t>Činnosti knihovnické</t>
  </si>
  <si>
    <t>Ostatní nemocnice</t>
  </si>
  <si>
    <t>Zdravotnická záchranná služba</t>
  </si>
  <si>
    <t xml:space="preserve">Nebytové hospodářství </t>
  </si>
  <si>
    <t xml:space="preserve">Ostatní rozvoj bydlení a bytového hospodářství </t>
  </si>
  <si>
    <t>Územní rozvoj</t>
  </si>
  <si>
    <t>Chráněné části přírody</t>
  </si>
  <si>
    <t>Domovy pro seniory</t>
  </si>
  <si>
    <t>Denní stacionáře a centra denních služeb</t>
  </si>
  <si>
    <t>Zastupitelstva krajů</t>
  </si>
  <si>
    <t>Obligatorní výdaje</t>
  </si>
  <si>
    <t>Semifakultativní výdaje</t>
  </si>
  <si>
    <t>Fakultatitvní výdaje</t>
  </si>
  <si>
    <t>Skutečnost            k 31. 12.</t>
  </si>
  <si>
    <t>Kapitola 05 - Školství</t>
  </si>
  <si>
    <t>Mateřské školy pro děti se speciálními vzdělávacími potřebami</t>
  </si>
  <si>
    <t>Základní školy pro žáky se speciálními vzdělávacími potřebami</t>
  </si>
  <si>
    <t>Střední školy poskytující střední vzdělání s výučním listem</t>
  </si>
  <si>
    <t>Zařízení výchovného poradenství</t>
  </si>
  <si>
    <t>Základní umělecké školy</t>
  </si>
  <si>
    <t>Ostatní správa ve vzdělávání jinde nezařazená</t>
  </si>
  <si>
    <t>3294</t>
  </si>
  <si>
    <t>Zařízení pro další vzdělávání  pedagogických pracovníků</t>
  </si>
  <si>
    <t>Využití volného času dětí a mládeže</t>
  </si>
  <si>
    <t>příspěvek na provoz</t>
  </si>
  <si>
    <t>příspěvek na mzdové výdaje</t>
  </si>
  <si>
    <t>příspěvek na běžné opravy a udržování</t>
  </si>
  <si>
    <t>Provoz škol - nájemné</t>
  </si>
  <si>
    <t>3269</t>
  </si>
  <si>
    <t>Velké opravy a havárie</t>
  </si>
  <si>
    <t>výdaje na opravy a údržbu majetku PO</t>
  </si>
  <si>
    <t>Podpora učňovského školství - stipendia</t>
  </si>
  <si>
    <t>Sportovní soutěže</t>
  </si>
  <si>
    <t>3419</t>
  </si>
  <si>
    <t>Sportovní centra mládeže</t>
  </si>
  <si>
    <t>3291</t>
  </si>
  <si>
    <t>Podpora zahraničních aktivit škol</t>
  </si>
  <si>
    <t>3541</t>
  </si>
  <si>
    <t>Prevence patologických jevů</t>
  </si>
  <si>
    <t>Olympiáda dětí a mládeže</t>
  </si>
  <si>
    <t>Implementace akčního plánu</t>
  </si>
  <si>
    <t>6402</t>
  </si>
  <si>
    <t>6409</t>
  </si>
  <si>
    <t>Vybavení škol a rizikových pracovišť AED</t>
  </si>
  <si>
    <t>Festival ZUŠ</t>
  </si>
  <si>
    <t>Ostatní činnosti související se službami pro obyvatelstvo</t>
  </si>
  <si>
    <t>Ochrana obyvatelstva</t>
  </si>
  <si>
    <t>Krizová opatření</t>
  </si>
  <si>
    <t>Záležitosti krizového řízení jinde nezařazené</t>
  </si>
  <si>
    <t>mzdové výdaje</t>
  </si>
  <si>
    <t>výdaje na opravy a údržbu majetku</t>
  </si>
  <si>
    <t>Ostatní činnosti jinde nezařazené</t>
  </si>
  <si>
    <t>Kapitola 11 - Správa majetku</t>
  </si>
  <si>
    <t>Bytové hospodářství</t>
  </si>
  <si>
    <t>výdaje na běžné opravy a udržování</t>
  </si>
  <si>
    <t>Nebytové hospodářství</t>
  </si>
  <si>
    <t>Kapitola 10 - Životní prostředí a zemědělství</t>
  </si>
  <si>
    <t>Ostatní zemědělská a potravinářská činnost a rozvoj</t>
  </si>
  <si>
    <t>Pěstební činnost</t>
  </si>
  <si>
    <t>Rybářství</t>
  </si>
  <si>
    <t>Vodní díla v zemědělské krajině</t>
  </si>
  <si>
    <t>Monitoring ochrany ovzduší</t>
  </si>
  <si>
    <t>Prevence vzniku odpadů</t>
  </si>
  <si>
    <t>Ostatní nakládání s odpady</t>
  </si>
  <si>
    <t>Ochrana druhů a stanovišť</t>
  </si>
  <si>
    <t>Ostatní správa v ochraně životního prostředí</t>
  </si>
  <si>
    <t>Ekologická výchova a osvěta</t>
  </si>
  <si>
    <t>Ostatní ekologické záležitosti</t>
  </si>
  <si>
    <t>Mezinárodní spolupráce (jinde nezařazená)</t>
  </si>
  <si>
    <t>Kapitola 03 - Informatika</t>
  </si>
  <si>
    <t>Činnost regionální správy - provozní náklady Rozvoj eGovernmentu</t>
  </si>
  <si>
    <t>Činnost regionální správy - provozní náklady na projekt v rámci Výzvy č. 19 IOP</t>
  </si>
  <si>
    <t>Kapitola 17 - Sociální věci</t>
  </si>
  <si>
    <t>Odborné sociální poradenství - příspěvek příspěvkovým organizacím</t>
  </si>
  <si>
    <t>Ostatní sociální péče a pomoc rodině a manželství</t>
  </si>
  <si>
    <t>Sociální rehabilitace - příspěvek příspěvkovým organizacím</t>
  </si>
  <si>
    <t>Ostatní sociální péče a pomoc ostatním skupinám obyvatelstva</t>
  </si>
  <si>
    <t>Domovy pro seniory - příspěvek příspěvkovým organizacím</t>
  </si>
  <si>
    <t>Osobní asistence, pečovatelská služba a podpora samostatného bydlení - příspěvek příspěvkovým organizacím</t>
  </si>
  <si>
    <t>Chráněné bydlení - příspěvek příspěvkovým organizacím</t>
  </si>
  <si>
    <t>Týdenní stacionáře - příspěvek příspěvkovým organizacím</t>
  </si>
  <si>
    <t>Denní stacionáře a centra denních služeb - příspěvek příspěvkovým organizacím</t>
  </si>
  <si>
    <t>Domovy pro osoby se zdravotním postižením a domovy se zvláštním režimem - příspěvek příspěvkovým organizacím</t>
  </si>
  <si>
    <t>Ostatní správa v sociálním zabezpečení a politice zaměstnanosti</t>
  </si>
  <si>
    <t>Azylové domy, nízkoprahová denní centra a noclehárny - příspěvek příspěvkových organizacím</t>
  </si>
  <si>
    <t>Služby následné péče, terapeutické komunity a kontaktní centra - příspěvek příspěvkovým organizacím</t>
  </si>
  <si>
    <t>Sociálně terapeutické dílny - příspěvek příspěvkovým organizacím</t>
  </si>
  <si>
    <t>Terénní programy - příspěvek příspěvkovým organizacím</t>
  </si>
  <si>
    <t>Ostatní služby a činnosti v oblasti sociální prevence - příspěvek příspěvkovým organizacím</t>
  </si>
  <si>
    <t>Ostatní záležitosti sociálních věcí a politiky zaměstnanosti</t>
  </si>
  <si>
    <t>Ostatní záležitosti sociálních věcí a politiky zaměstnanosti - POSEZ</t>
  </si>
  <si>
    <t>Havárie a opravy</t>
  </si>
  <si>
    <t>Finanční vypořádání minulých let</t>
  </si>
  <si>
    <t xml:space="preserve"> </t>
  </si>
  <si>
    <t>Sociální péče a pomoc přistěhovalcům a vybraným etnikům</t>
  </si>
  <si>
    <t>Kapitola 09 - Evropská integrace</t>
  </si>
  <si>
    <t>Vesnice roku</t>
  </si>
  <si>
    <t xml:space="preserve">Kapitola 08 - Regionální rozvoj </t>
  </si>
  <si>
    <t xml:space="preserve">Podpora cestovního ruchu, regionálních/lokálních akcí </t>
  </si>
  <si>
    <t>Příprava a udržitelnost projektů regionálního rozvoje</t>
  </si>
  <si>
    <t>Strategické dokumenty</t>
  </si>
  <si>
    <t>Místní akční skupiny</t>
  </si>
  <si>
    <t>Destinační managementy</t>
  </si>
  <si>
    <t>Klub českých turistů</t>
  </si>
  <si>
    <t>Cestovní ruch - příspěvek příspěvkové organizaci Středočeská centrála cestovního ruchu</t>
  </si>
  <si>
    <t>Podpora podnikání, investiční příležitosti, brownfields</t>
  </si>
  <si>
    <t>Podpora modernizace místní veřejné správy a samosprávy prostřednictvím rozvoje ICT technologií a služeb</t>
  </si>
  <si>
    <t>Středočeské inovační centrum</t>
  </si>
  <si>
    <t>Středočeské inovační centrum - Středočeské inovační vouchery</t>
  </si>
  <si>
    <t xml:space="preserve">Středočeské inovační centrum - Středočeské kreativní vouchery </t>
  </si>
  <si>
    <t>Činnost regionálních rad</t>
  </si>
  <si>
    <t xml:space="preserve">Středočeské vodní cesty, spolek </t>
  </si>
  <si>
    <t xml:space="preserve">Sportovní soutěže </t>
  </si>
  <si>
    <t xml:space="preserve">Olympiáda dětí a mládeže </t>
  </si>
  <si>
    <t>Koncepce podpory dětí a mládeže SK</t>
  </si>
  <si>
    <t>Kapitola 13 - Krajský investor</t>
  </si>
  <si>
    <t>Bezpečnost silničního provozu</t>
  </si>
  <si>
    <t>Dopravní obslužnost veřejnými službami</t>
  </si>
  <si>
    <t>Záležitosti vodních toků a vodohospodářských děl jinde nezařazené</t>
  </si>
  <si>
    <t>Činnost muzeí a galerií</t>
  </si>
  <si>
    <t>Pořízení, zachování a obnova hodnot místního kulturního, národního a historického povědomí</t>
  </si>
  <si>
    <t>Ostatní zájmová činnost a rekreace</t>
  </si>
  <si>
    <t>Ostatní ústavní péče</t>
  </si>
  <si>
    <t>Ostatní činnost ve zdravotnictví</t>
  </si>
  <si>
    <t>Domovy pro osoby se zdravotním postižením a domovy se zvláštním režimem</t>
  </si>
  <si>
    <t>Kapitola 25 - Bezpečnost a prevence</t>
  </si>
  <si>
    <t>Základní školy</t>
  </si>
  <si>
    <t>Ostatní záležitosti vzdělávání</t>
  </si>
  <si>
    <t xml:space="preserve">Podpora kvality škol a rozvojové projekty </t>
  </si>
  <si>
    <t>Dluhová služba za úvěr kraje z roku 2019</t>
  </si>
  <si>
    <t xml:space="preserve">Dotace na výstavbu automatických parkovacích systémů pro kola </t>
  </si>
  <si>
    <t>Vytvoření destinační značky Střední Čechy</t>
  </si>
  <si>
    <t>Projekty OPVK - odvody a penále</t>
  </si>
  <si>
    <t>Změna technologií vytápění</t>
  </si>
  <si>
    <t>Převody vlastním fondům v rozpočtech územní úrovně</t>
  </si>
  <si>
    <t>Podpora podnikání - příspěvek příspěvkové organizaci Regionální dotační kancelář</t>
  </si>
  <si>
    <t>Kapitola 06 - Kultura a památková péče</t>
  </si>
  <si>
    <t xml:space="preserve">Činnosti knihovnické - příspěvek příspěvkovým organizacím </t>
  </si>
  <si>
    <t xml:space="preserve">Činnosti muzeí a galerií - příspěvek příspěvkovým organizacím </t>
  </si>
  <si>
    <t xml:space="preserve">Činnosti památkových ústavů, hradů a zámků - příspěvek příspěvkovým organizacím </t>
  </si>
  <si>
    <t>Archeologické  výzkumy a nálezy</t>
  </si>
  <si>
    <t xml:space="preserve">Vědecko-výzkumné archeologické projekty </t>
  </si>
  <si>
    <t>Regionální funkce knihoven SK</t>
  </si>
  <si>
    <t>Středočeská vědecká knihovna v Kladně</t>
  </si>
  <si>
    <t>Městská knihovna Benešov</t>
  </si>
  <si>
    <t>Městská knihovna Kutná Hora</t>
  </si>
  <si>
    <t>Knihovna města Mladá Boleslav</t>
  </si>
  <si>
    <t>Knihovna Jana Drdy Příbram</t>
  </si>
  <si>
    <t>Rozvojové projekty příspěvkových organizací - činnosti knihovnické</t>
  </si>
  <si>
    <t>Rozvojové projekty příspěvkových organizací - činností muzeí a galerií</t>
  </si>
  <si>
    <t>Rozvojové projekty příspěvkových organizací - činností památkových ústavů, hradů a zámků</t>
  </si>
  <si>
    <t>Koncepční podpora divadel (Městské divadlo Mladá Boleslav, Divadlo A. Dvořáka v Příbrami, Městské divadlo Kladno, Loutkové divadlo Lampion)</t>
  </si>
  <si>
    <t>Podpora živé kultury</t>
  </si>
  <si>
    <t>Skutečná liga Středočeského kraje</t>
  </si>
  <si>
    <t>Dvořákovo Příbramsko</t>
  </si>
  <si>
    <t>Stavba roku</t>
  </si>
  <si>
    <t>Dny lidové architektury</t>
  </si>
  <si>
    <t>Podpora kinematografie a festivalů</t>
  </si>
  <si>
    <t>Metodická a koncepční činnost odboru</t>
  </si>
  <si>
    <t>Dobový letecký den v Mladé Boleslavi</t>
  </si>
  <si>
    <t>Vědecko-výzkumný projekt u stavby II/329 Plaňany</t>
  </si>
  <si>
    <t>Program na obnovu památek určených ke společenskému využití</t>
  </si>
  <si>
    <t xml:space="preserve">Zachování a obnova kulturních památek </t>
  </si>
  <si>
    <t>Jednotná propagace příspěvkových organizací prostřednictvím SK a propagace kulturních akcí</t>
  </si>
  <si>
    <t>Lékařská služba první pomoci</t>
  </si>
  <si>
    <t>Ostatní nemocnice - ztrátové činnosti</t>
  </si>
  <si>
    <t>Ostatní ústavní péče (dětská centra) - odstranění neužívané ČOV Chocerady</t>
  </si>
  <si>
    <t>Lékárenská služba (léky, protézy, přístroje pro užití vně zdravotnických zařízení) - výdaje na náhrady za nezpůsobenou újmu</t>
  </si>
  <si>
    <t>Zdravotnická záchranná služba - příspěvek příspěvkovým organizacím</t>
  </si>
  <si>
    <t>Ostatní činnost ve zdravotnictví - odbor</t>
  </si>
  <si>
    <t>Ostatní činnost ve zdravotnictví - nehrazené činnosti ze zdravotního pojištění</t>
  </si>
  <si>
    <t>Ostatní činnost ve zdravotnictví - jiné očekávané výdaje</t>
  </si>
  <si>
    <t>Kapitola 07 - Zdravotnictví</t>
  </si>
  <si>
    <t>Kapitola 04 - Doprava</t>
  </si>
  <si>
    <t xml:space="preserve">Silnice - příspěvek příspěvkové organizaci Krajská správa a údržba silnic Středočeského kraje </t>
  </si>
  <si>
    <t>Ostatní záležitosti pozemních komunikací - Cyklodoprava</t>
  </si>
  <si>
    <t>Kontrola technické způsobilosti vozidel</t>
  </si>
  <si>
    <t>Ostatní záležitosti vnitrozemské plavby - dotace přívozy</t>
  </si>
  <si>
    <t>Dopravní obslužnost</t>
  </si>
  <si>
    <t xml:space="preserve">Dopravní obslužnost - příspěvek příspěvkové organizaci Integrovaná doprava Středočeského kraje </t>
  </si>
  <si>
    <t>Ostatní sociální péče a pomoc ostatním skupinám obyvatelstva - projekt Středočeské jízdné</t>
  </si>
  <si>
    <t>Středočeský Fond návratných finančních zdrojů</t>
  </si>
  <si>
    <t>Čerpání bankovního úvěru ČS a.s. z roku 2019</t>
  </si>
  <si>
    <t>Semifakultativní a fakultativní výdaje rozpočtu Středočeského kraje na rok 2020 celkem *)</t>
  </si>
  <si>
    <t>Střední školy a konzervatoře pro žáky se speciálními vzdělávacími potřebami</t>
  </si>
  <si>
    <t>501 platy</t>
  </si>
  <si>
    <t xml:space="preserve">502 ostatní platby za provedenou práci </t>
  </si>
  <si>
    <t>503 povinné pojistné placené obyvatelstvem</t>
  </si>
  <si>
    <t>504 odměny za užití duševního vlastnictví</t>
  </si>
  <si>
    <t>513 nákup materiálu</t>
  </si>
  <si>
    <t>515 nákup vody, paliv a energie</t>
  </si>
  <si>
    <t>516 nákup služeb</t>
  </si>
  <si>
    <t>517 ostatní nákupy</t>
  </si>
  <si>
    <t>581 výdaje na náhrady za nezpůsobenou újmu</t>
  </si>
  <si>
    <t>522 neinvestiční transfery neziskovým a podobným subjektům</t>
  </si>
  <si>
    <t xml:space="preserve">Příspěvky zřízeným příspěvkovým organizacím </t>
  </si>
  <si>
    <t>Příspěvek na provoz</t>
  </si>
  <si>
    <t>Příspěvek na mzdové výdaje</t>
  </si>
  <si>
    <t>Příspěvek na běžné opravy a udržování</t>
  </si>
  <si>
    <t>Příspěvek na mzdové výdaje zřízeným příspěvkovým organizacím celkem</t>
  </si>
  <si>
    <t>Příspěvek na běžné opravy a udržování zřízeným příspěvkovým organizacím celkem</t>
  </si>
  <si>
    <t xml:space="preserve">Ostatní ústavní péče (dětská centra) - příspěvek příspěvkovým organizacím </t>
  </si>
  <si>
    <t>Provoz škol - příspěvek příspěvkovým organizacím</t>
  </si>
  <si>
    <t>ROZPOČET STŘEDOČESKÉHO KRAJE</t>
  </si>
  <si>
    <t>NA ROK 2020</t>
  </si>
  <si>
    <t>Činnost regionální správy - Výdaje na rozšíření modulu e-ZAK</t>
  </si>
  <si>
    <t>25</t>
  </si>
  <si>
    <t>Čerpání přijatého úvěru od České spořitelny, a.s. 2019</t>
  </si>
  <si>
    <t>Splátky přijatého úvěru od Komerční banky a.s. v roce 2007 - jistina</t>
  </si>
  <si>
    <t>Opravné položky k peněžním operacím</t>
  </si>
  <si>
    <t>Středočeský Fond hejtmana a zmírnění živelních katastrof</t>
  </si>
  <si>
    <t>Havarijní fond pro ochranu jakosti vod</t>
  </si>
  <si>
    <t xml:space="preserve">Středočeský povodňový fond </t>
  </si>
  <si>
    <t>Požární ochrana - dobrovolná část</t>
  </si>
  <si>
    <t>Převody domněle neoprávněně použitých dotací zpět poskytovateli - vratky na základě výzvy</t>
  </si>
  <si>
    <t>Úhrada sankcí jiným rozpočtům - odvod za porušení rozpočtové kázně</t>
  </si>
  <si>
    <t>Ostatní záležitosti pozemních komunikací - cyklodoprava - vratky na základě výzvy</t>
  </si>
  <si>
    <t>Ostatní záležitosti kultury - navýšení mzdových prostředků příspěvkových organizací</t>
  </si>
  <si>
    <t>Festival Kulturní léto a besedy na téma 17. listopad 1989</t>
  </si>
  <si>
    <t xml:space="preserve">Venkov pro život 4.0 </t>
  </si>
  <si>
    <t>Středočeské inovační centrum  - projekt PLATINN</t>
  </si>
  <si>
    <t xml:space="preserve">Projekt UK PF "Reálné populace v Praze a Středočeském kraji" </t>
  </si>
  <si>
    <t>Finanční výpomoc SBD Svatopluk</t>
  </si>
  <si>
    <t>Pitná voda - vratky přeplatků za  odběr podzemní vody</t>
  </si>
  <si>
    <t>Domovy pro seniory - vrácení odvodu za porušení rozpočtové kázně</t>
  </si>
  <si>
    <t>Ostatní správa v oblasti krizového řízení</t>
  </si>
  <si>
    <t>Vratky z předfinancování projektů spolufinancovaných z EU/EHP (třída 2)</t>
  </si>
  <si>
    <t>Vratky z předfinancování projektů spolufinancovaných z národních zdrojů (třída2)</t>
  </si>
  <si>
    <t>04</t>
  </si>
  <si>
    <t>Specifické rezervy - vedené na kapitole 23 - Ostatní</t>
  </si>
  <si>
    <t>2299</t>
  </si>
  <si>
    <t>2292</t>
  </si>
  <si>
    <t>Středočeský Fond sportu a volného času</t>
  </si>
  <si>
    <t>Poznámka: Ve schváleném rozpočtu 2020 jsou výdaje na krytí očekávaných výdajů kapitol kryté do výše 10 mil. Kč.</t>
  </si>
  <si>
    <t>05</t>
  </si>
  <si>
    <t>Dopad reformy regionálního školství</t>
  </si>
  <si>
    <t>Prostředky na úhradu možného navýšení mezd</t>
  </si>
  <si>
    <t>nárůst mezd řidičů veřejné dopravy</t>
  </si>
  <si>
    <t>3522</t>
  </si>
  <si>
    <t>nárůst mezd zaměstnanců KÚ, příspěvkových organizací, odměn zastupitelů</t>
  </si>
  <si>
    <t>Příjmy - Výdaje</t>
  </si>
  <si>
    <t>Jiné očekávané výdaje ve zdravotnictví</t>
  </si>
  <si>
    <t>Splátky přijatého úvěru kraje KB a.s. z roku 2007 (jistina)</t>
  </si>
  <si>
    <t>23</t>
  </si>
  <si>
    <t>Financování projektů spolufinancovaných z EU/EHP a národních zdrojů</t>
  </si>
  <si>
    <t>Podíly na daních</t>
  </si>
  <si>
    <t>Čerpání přijatého úvěru od České spořitelny, a.s. 2019 - financování ve výdajích</t>
  </si>
  <si>
    <t>Bilance financování projektů spolufinancovaných z EU/EHP a národních zdrojů</t>
  </si>
  <si>
    <t xml:space="preserve">Středočeský Fond sportu a volného času </t>
  </si>
  <si>
    <t>Středočeský Fond prevence</t>
  </si>
  <si>
    <t>Rozpočet 2020 - obligatorní výdaje</t>
  </si>
  <si>
    <t>Specifické rezervy celkem</t>
  </si>
  <si>
    <t>Kapitola 15 - Územní a stavební řízení</t>
  </si>
  <si>
    <t xml:space="preserve">Kapitola 18 - Legislativně právní </t>
  </si>
  <si>
    <t xml:space="preserve">Zůstatek hospodaření - financování ve zdrojích </t>
  </si>
  <si>
    <t xml:space="preserve">Kapitálové výdaje - prostředky na krytí Zásobníku investic </t>
  </si>
  <si>
    <t>Kapitálové (investiční) výdaje v Zásobníku investic *)</t>
  </si>
  <si>
    <t>Odložené financování v oblasti zdravotnictví v Zásobníku investic</t>
  </si>
  <si>
    <t>Středočeský Fond hejtmana a zmírnění následků živelních katastrof</t>
  </si>
  <si>
    <t>Ostatní záležitosti v dopravě - Odborné posudky a konzultační služby</t>
  </si>
  <si>
    <t>Kapitola 01 - Činnost Zastupitelstva</t>
  </si>
  <si>
    <t>Kapitola 02 - Činnost Krajského úřadu</t>
  </si>
  <si>
    <t>514 úroky a ostatní finanční výdaje</t>
  </si>
  <si>
    <t>519 výdaje související s neinvestičními nákupy, příspěvky,  náhrady a věcné dary</t>
  </si>
  <si>
    <t>Ostatní neinvestiční výdaje - vratky, úhrady sankcí - odvod za porušení rozpočtové kázně</t>
  </si>
  <si>
    <t>Podpora cestovního ruchu - SOUNTRACK PODĚBRADY 2020</t>
  </si>
  <si>
    <t xml:space="preserve">Střední školy poskytující střední vzdělání s výučním listem </t>
  </si>
  <si>
    <t>Ostatní záležitosti  sociálních věcí a politiky zaměstnanosti</t>
  </si>
  <si>
    <t xml:space="preserve">07 - Zdravotnictví   </t>
  </si>
  <si>
    <t>Kapitálové výdaje - prostředky na krytí Zásobníku investic</t>
  </si>
  <si>
    <t xml:space="preserve">Podíl semifakultativních a fakultativních výdajů činí přibližně 15% z příjmů ze sdílených daní a budou kráceny v případě nenaplnění daňových příjmů z důvodu ekonomické krize. </t>
  </si>
  <si>
    <t>15% příjmů ze sdílených daní</t>
  </si>
  <si>
    <t>Schválený rozpočet 2018</t>
  </si>
  <si>
    <t>Schválený rozpočet 2019</t>
  </si>
  <si>
    <t>Limity kapitol - Zásobník investic pro rok 2020</t>
  </si>
  <si>
    <t>Vratky z předfinancování projektů spolufinancovaných z národních zdrojů (třída 2)</t>
  </si>
  <si>
    <t>základní dopravní obslužnost v autobusové dopravě</t>
  </si>
  <si>
    <t>základní dopravní obslužnost v drážní dopravě</t>
  </si>
  <si>
    <t>Ostatní záležitosti v dopravě - Krajský plán vyrovnání příležitostí pro osoby se zdravotním postižením</t>
  </si>
  <si>
    <t>Prostředky na dointegraci dopravy ve Středočeském kraji v roce 2020</t>
  </si>
  <si>
    <t xml:space="preserve">Příspěvek na provoz zřízeným příspěvkovým organizacím celkem </t>
  </si>
  <si>
    <t>518 výdaje na netransferové převody uvnitř organizace, nepřevzaté povinnosti a na jistoty</t>
  </si>
  <si>
    <t>536 ostatní neinvestiční transfery jiným veřejným rozpočtům</t>
  </si>
  <si>
    <t>542 náhrady placené obyvatelstvu</t>
  </si>
  <si>
    <t>590 ostatní neinvestiční výdaje</t>
  </si>
  <si>
    <t>příspěvek na provoz (jízdenkové kotouče, MOS)</t>
  </si>
  <si>
    <t>Upravený rozpočet k 30.9.</t>
  </si>
  <si>
    <t>Skutečnost k 30.9.</t>
  </si>
  <si>
    <t>3111, 3114, 3141</t>
  </si>
  <si>
    <t>Opatření ke snižování produkce skleníkových plynů a plynů poškozujících oz. vrstvu</t>
  </si>
  <si>
    <t xml:space="preserve">Prevence před drogami, alkoholem, nikotinem a jinými závislostmi  - financování projektu "Síť poradenských a léčebných služeb" </t>
  </si>
  <si>
    <t>Středočeský Infrastrukturní fond: Tematické zadání Podpora rozvoje a obnovy základních a mateřských škol</t>
  </si>
  <si>
    <t>Ostatní služby a činnosti v oblasti sociální péče (odlehčovací služby) - příspěvek příspěvkovým organizacím</t>
  </si>
  <si>
    <t>Konsolidace Sociálního fondu</t>
  </si>
  <si>
    <t>Ostatní záležitosti sociálních věcí a politiky - příspěvek příspěvkovým organizacím</t>
  </si>
  <si>
    <t>Výdaje "investičního" charakteru celkem (opravy a údržba + Zásobník investic + Zásobník projektů)</t>
  </si>
  <si>
    <t>Poznámka: Výdaje na investiční (kapitálové) výdaje zařazené v Zásobníku investic, výdaje na financování projektů EU a z národních zdrojů zařazené v Zásobníku projektů spolufinancovaných z EU/EHP a národních zdrojů jsou proporcionálně kráceny do výše schváleného rozpočtu 2020. Schválený rozpočet SK na rok 2020 kryje Zásobník investic do výše 59,61%. Zásobník projektů spolufinancovaných z EU/EHP a národních zdrojů je kryt rozpočtem do výše 45,01%.</t>
  </si>
  <si>
    <t>Výdaje na fin. projektů EU/EHP a z národních zdrojů zařazené v Zásobníku projektů</t>
  </si>
  <si>
    <t>Středočeský Fond kultury a obnovy památek</t>
  </si>
  <si>
    <t>Středočeský Fond životního prostředí a zemědělství</t>
  </si>
  <si>
    <t>TABULKOVÁ ČÁST</t>
  </si>
  <si>
    <t>Střediska praktického vyučování a školní hospodářství</t>
  </si>
  <si>
    <t>Středočeský humanitární fond</t>
  </si>
  <si>
    <t>Středočeský povodňový fond</t>
  </si>
  <si>
    <t>Výdaje na dorovnání nekrytého fondu investic zřízených příspěvkových organizací</t>
  </si>
  <si>
    <t>Výdaje na havárie (kapitola 23)</t>
  </si>
  <si>
    <t>Výdaje na reprodukci majetku příspěvkových organizací - financované z vybraných příjmů z pronájmu (kapitola 23)</t>
  </si>
  <si>
    <t>Kapitálové (investiční)  výdaje  (kapitola 12)</t>
  </si>
  <si>
    <t>Předfinancování a kofinancování projektů spolufinancovaných z EU/EHP a ostatní související výdaje s projekty EU/EHP (kapitola 23)</t>
  </si>
  <si>
    <t>Předfinancování a kofinancování projektů spolufinancovaných z národních zdrojů a ostatní související výdaje s projekty z národních zdrojů (kapitola 23)</t>
  </si>
  <si>
    <t>Rezerva - nepředvídatelné události a finanční záruky (kapitola 23)</t>
  </si>
  <si>
    <t>Výdaje na krytí očekávaných výdajů kapitol (kapitola 23)</t>
  </si>
  <si>
    <t>Výdaje dle programů (kapitola 23)</t>
  </si>
  <si>
    <t>Krytí ztrát nemocnic SK do roku 2018 včetně (kapitola 23)</t>
  </si>
  <si>
    <t>Pojištění majetku, vozidel a odpovědnosti k refundaci (kapitola 23)</t>
  </si>
  <si>
    <t>Specifické rezervy (kapitola 23)</t>
  </si>
  <si>
    <t>Odložené financování v oblasti zdravotnictví (ve schváleném rozpočtu kapitola 23)</t>
  </si>
  <si>
    <t>Splátky úroků z přijatého úvěru od České spořitelny, a.s. v roce 2019  (kapitola 23) - 2,58 %</t>
  </si>
  <si>
    <r>
      <t>Splátky úroků z přijatého úvěru od Komerční banka, a.s. v roce 2007 (kapitola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23) - 2,5 %</t>
    </r>
  </si>
  <si>
    <t>Poznámka: V sumáři příjmů a výdajů jsou v řádku "Kapitálové (investiční) výdaje" ve sloupci "Schválený rozpočet" uvedeny prostředky na krytí Zásobníku investic vedené na kap. 12 - Investiční výdaje (*)). Ve sloupcích "Upravený rozpočet" a "Skutečnost" jsou uvedeny jak tyto prostředky, tak i kapitálové výdaje - jednotlivé kapitoly (**)).</t>
  </si>
  <si>
    <t>Středočeský Fond rozvoje doprovodné infrastruktury</t>
  </si>
  <si>
    <t>Mzdové prostředky hrazené z rozpočtu kraje</t>
  </si>
  <si>
    <t>3121</t>
  </si>
  <si>
    <t>3122</t>
  </si>
  <si>
    <t>3123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</si>
</sst>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"/>
    <numFmt numFmtId="165" formatCode="0.0"/>
    <numFmt numFmtId="166" formatCode="&quot;Kč&quot;#,##0.00"/>
    <numFmt numFmtId="167" formatCode="#,##0.000000"/>
    <numFmt numFmtId="168" formatCode="0.0000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04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37">
    <xf numFmtId="0" fontId="0" fillId="0" borderId="0" xfId="0"/>
    <xf numFmtId="0" fontId="12" fillId="0" borderId="0" xfId="14" applyFont="1"/>
    <xf numFmtId="3" fontId="12" fillId="0" borderId="0" xfId="14" applyNumberFormat="1" applyFont="1"/>
    <xf numFmtId="4" fontId="12" fillId="0" borderId="0" xfId="14" applyNumberFormat="1" applyFont="1"/>
    <xf numFmtId="3" fontId="13" fillId="0" borderId="0" xfId="14" applyNumberFormat="1" applyFont="1"/>
    <xf numFmtId="165" fontId="12" fillId="0" borderId="0" xfId="14" applyNumberFormat="1" applyFont="1" applyAlignment="1">
      <alignment horizontal="right"/>
    </xf>
    <xf numFmtId="165" fontId="14" fillId="0" borderId="0" xfId="14" applyNumberFormat="1" applyFont="1" applyAlignment="1">
      <alignment horizontal="right"/>
    </xf>
    <xf numFmtId="0" fontId="15" fillId="0" borderId="0" xfId="14" applyFont="1"/>
    <xf numFmtId="165" fontId="14" fillId="0" borderId="0" xfId="15" applyNumberFormat="1" applyFont="1" applyAlignment="1">
      <alignment horizontal="right"/>
    </xf>
    <xf numFmtId="0" fontId="16" fillId="0" borderId="0" xfId="14" applyFont="1" applyBorder="1"/>
    <xf numFmtId="0" fontId="17" fillId="0" borderId="0" xfId="15" applyFont="1" applyBorder="1"/>
    <xf numFmtId="3" fontId="17" fillId="0" borderId="0" xfId="15" applyNumberFormat="1" applyFont="1" applyBorder="1"/>
    <xf numFmtId="4" fontId="17" fillId="0" borderId="0" xfId="15" applyNumberFormat="1" applyFont="1" applyBorder="1"/>
    <xf numFmtId="4" fontId="16" fillId="0" borderId="0" xfId="14" applyNumberFormat="1" applyFont="1" applyBorder="1"/>
    <xf numFmtId="3" fontId="16" fillId="0" borderId="0" xfId="14" applyNumberFormat="1" applyFont="1" applyBorder="1"/>
    <xf numFmtId="3" fontId="17" fillId="0" borderId="0" xfId="14" applyNumberFormat="1" applyFont="1" applyBorder="1"/>
    <xf numFmtId="165" fontId="16" fillId="0" borderId="0" xfId="14" applyNumberFormat="1" applyFont="1" applyBorder="1" applyAlignment="1">
      <alignment horizontal="right"/>
    </xf>
    <xf numFmtId="165" fontId="16" fillId="0" borderId="0" xfId="14" applyNumberFormat="1" applyFont="1" applyAlignment="1">
      <alignment horizontal="right"/>
    </xf>
    <xf numFmtId="0" fontId="16" fillId="0" borderId="0" xfId="14" applyFont="1"/>
    <xf numFmtId="0" fontId="12" fillId="0" borderId="0" xfId="14" applyFont="1" applyAlignment="1">
      <alignment horizontal="left" wrapText="1"/>
    </xf>
    <xf numFmtId="0" fontId="12" fillId="0" borderId="0" xfId="14" applyFont="1" applyAlignment="1"/>
    <xf numFmtId="0" fontId="17" fillId="0" borderId="0" xfId="14" applyFont="1" applyAlignment="1">
      <alignment horizontal="left" wrapText="1"/>
    </xf>
    <xf numFmtId="0" fontId="17" fillId="0" borderId="0" xfId="14" applyFont="1"/>
    <xf numFmtId="0" fontId="18" fillId="0" borderId="0" xfId="14" applyFont="1" applyBorder="1"/>
    <xf numFmtId="3" fontId="18" fillId="0" borderId="0" xfId="14" applyNumberFormat="1" applyFont="1" applyBorder="1"/>
    <xf numFmtId="4" fontId="18" fillId="0" borderId="0" xfId="14" applyNumberFormat="1" applyFont="1" applyBorder="1"/>
    <xf numFmtId="4" fontId="18" fillId="0" borderId="0" xfId="14" applyNumberFormat="1" applyFont="1" applyBorder="1" applyAlignment="1">
      <alignment horizontal="right"/>
    </xf>
    <xf numFmtId="3" fontId="18" fillId="0" borderId="0" xfId="14" applyNumberFormat="1" applyFont="1" applyBorder="1" applyAlignment="1">
      <alignment horizontal="right"/>
    </xf>
    <xf numFmtId="165" fontId="18" fillId="0" borderId="0" xfId="15" applyNumberFormat="1" applyFont="1" applyBorder="1" applyAlignment="1">
      <alignment horizontal="right"/>
    </xf>
    <xf numFmtId="165" fontId="13" fillId="0" borderId="0" xfId="14" applyNumberFormat="1" applyFont="1" applyAlignment="1">
      <alignment horizontal="right" wrapText="1"/>
    </xf>
    <xf numFmtId="0" fontId="20" fillId="0" borderId="0" xfId="14" applyFont="1" applyAlignment="1">
      <alignment vertical="center"/>
    </xf>
    <xf numFmtId="0" fontId="12" fillId="0" borderId="0" xfId="1" applyFont="1"/>
    <xf numFmtId="4" fontId="13" fillId="0" borderId="0" xfId="1" applyNumberFormat="1" applyFont="1"/>
    <xf numFmtId="0" fontId="21" fillId="0" borderId="0" xfId="1" applyFont="1"/>
    <xf numFmtId="164" fontId="12" fillId="0" borderId="0" xfId="1" applyNumberFormat="1" applyFont="1"/>
    <xf numFmtId="0" fontId="15" fillId="0" borderId="0" xfId="1" applyFont="1"/>
    <xf numFmtId="0" fontId="15" fillId="0" borderId="0" xfId="1" applyFont="1" applyAlignment="1"/>
    <xf numFmtId="0" fontId="17" fillId="0" borderId="0" xfId="1" applyFont="1"/>
    <xf numFmtId="0" fontId="22" fillId="0" borderId="0" xfId="1" applyFont="1"/>
    <xf numFmtId="164" fontId="14" fillId="0" borderId="0" xfId="1" applyNumberFormat="1" applyFont="1" applyAlignment="1">
      <alignment horizontal="right"/>
    </xf>
    <xf numFmtId="0" fontId="16" fillId="0" borderId="0" xfId="1" applyFont="1"/>
    <xf numFmtId="14" fontId="12" fillId="0" borderId="0" xfId="1" applyNumberFormat="1" applyFont="1"/>
    <xf numFmtId="0" fontId="12" fillId="0" borderId="0" xfId="0" applyFont="1" applyAlignment="1">
      <alignment wrapText="1"/>
    </xf>
    <xf numFmtId="4" fontId="13" fillId="0" borderId="0" xfId="0" applyNumberFormat="1" applyFont="1"/>
    <xf numFmtId="49" fontId="12" fillId="0" borderId="0" xfId="0" applyNumberFormat="1" applyFont="1" applyAlignment="1">
      <alignment horizontal="right"/>
    </xf>
    <xf numFmtId="4" fontId="18" fillId="0" borderId="0" xfId="0" applyNumberFormat="1" applyFont="1"/>
    <xf numFmtId="4" fontId="14" fillId="0" borderId="0" xfId="0" applyNumberFormat="1" applyFont="1"/>
    <xf numFmtId="0" fontId="12" fillId="0" borderId="0" xfId="0" applyFont="1"/>
    <xf numFmtId="0" fontId="21" fillId="0" borderId="0" xfId="1" applyFont="1" applyAlignment="1">
      <alignment horizontal="left"/>
    </xf>
    <xf numFmtId="4" fontId="12" fillId="0" borderId="0" xfId="1" applyNumberFormat="1" applyFont="1"/>
    <xf numFmtId="4" fontId="14" fillId="0" borderId="0" xfId="1" applyNumberFormat="1" applyFont="1"/>
    <xf numFmtId="0" fontId="15" fillId="0" borderId="0" xfId="1" applyFont="1" applyAlignment="1">
      <alignment wrapText="1"/>
    </xf>
    <xf numFmtId="4" fontId="12" fillId="0" borderId="0" xfId="0" applyNumberFormat="1" applyFont="1"/>
    <xf numFmtId="4" fontId="1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8" fillId="0" borderId="0" xfId="0" applyFont="1"/>
    <xf numFmtId="4" fontId="14" fillId="0" borderId="0" xfId="0" applyNumberFormat="1" applyFont="1" applyAlignment="1">
      <alignment horizontal="right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/>
    <xf numFmtId="0" fontId="17" fillId="0" borderId="0" xfId="0" applyFont="1"/>
    <xf numFmtId="4" fontId="18" fillId="0" borderId="0" xfId="0" applyNumberFormat="1" applyFont="1" applyBorder="1"/>
    <xf numFmtId="0" fontId="17" fillId="0" borderId="0" xfId="0" applyFont="1" applyBorder="1"/>
    <xf numFmtId="0" fontId="12" fillId="0" borderId="0" xfId="0" applyFont="1" applyFill="1" applyBorder="1"/>
    <xf numFmtId="0" fontId="17" fillId="0" borderId="56" xfId="0" applyFont="1" applyBorder="1" applyAlignment="1">
      <alignment wrapText="1"/>
    </xf>
    <xf numFmtId="4" fontId="17" fillId="0" borderId="16" xfId="0" applyNumberFormat="1" applyFont="1" applyFill="1" applyBorder="1"/>
    <xf numFmtId="4" fontId="17" fillId="0" borderId="6" xfId="0" applyNumberFormat="1" applyFont="1" applyFill="1" applyBorder="1"/>
    <xf numFmtId="0" fontId="17" fillId="0" borderId="0" xfId="0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Fill="1" applyBorder="1" applyAlignment="1">
      <alignment wrapText="1"/>
    </xf>
    <xf numFmtId="4" fontId="13" fillId="0" borderId="0" xfId="0" applyNumberFormat="1" applyFont="1" applyFill="1"/>
    <xf numFmtId="3" fontId="13" fillId="0" borderId="0" xfId="0" applyNumberFormat="1" applyFont="1"/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4" fontId="12" fillId="0" borderId="0" xfId="0" applyNumberFormat="1" applyFont="1" applyAlignment="1">
      <alignment wrapText="1"/>
    </xf>
    <xf numFmtId="0" fontId="23" fillId="0" borderId="0" xfId="1" applyFont="1"/>
    <xf numFmtId="49" fontId="12" fillId="0" borderId="0" xfId="2" applyNumberFormat="1" applyFont="1" applyAlignment="1">
      <alignment horizontal="center"/>
    </xf>
    <xf numFmtId="0" fontId="12" fillId="0" borderId="0" xfId="2" applyFont="1"/>
    <xf numFmtId="4" fontId="12" fillId="0" borderId="0" xfId="2" applyNumberFormat="1" applyFont="1"/>
    <xf numFmtId="49" fontId="12" fillId="0" borderId="0" xfId="0" applyNumberFormat="1" applyFont="1" applyAlignment="1"/>
    <xf numFmtId="4" fontId="12" fillId="0" borderId="0" xfId="0" applyNumberFormat="1" applyFont="1" applyAlignment="1"/>
    <xf numFmtId="0" fontId="15" fillId="0" borderId="0" xfId="0" applyFont="1"/>
    <xf numFmtId="3" fontId="12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 applyAlignment="1">
      <alignment horizontal="right"/>
    </xf>
    <xf numFmtId="3" fontId="17" fillId="0" borderId="5" xfId="0" applyNumberFormat="1" applyFont="1" applyBorder="1"/>
    <xf numFmtId="4" fontId="17" fillId="0" borderId="16" xfId="0" applyNumberFormat="1" applyFont="1" applyBorder="1"/>
    <xf numFmtId="4" fontId="17" fillId="0" borderId="6" xfId="0" applyNumberFormat="1" applyFont="1" applyBorder="1"/>
    <xf numFmtId="14" fontId="12" fillId="0" borderId="0" xfId="0" applyNumberFormat="1" applyFont="1"/>
    <xf numFmtId="3" fontId="12" fillId="0" borderId="0" xfId="1" applyNumberFormat="1" applyFont="1"/>
    <xf numFmtId="3" fontId="14" fillId="0" borderId="0" xfId="0" applyNumberFormat="1" applyFont="1" applyAlignment="1">
      <alignment horizontal="right"/>
    </xf>
    <xf numFmtId="3" fontId="17" fillId="0" borderId="5" xfId="0" applyNumberFormat="1" applyFont="1" applyFill="1" applyBorder="1"/>
    <xf numFmtId="164" fontId="17" fillId="0" borderId="24" xfId="0" applyNumberFormat="1" applyFont="1" applyBorder="1"/>
    <xf numFmtId="3" fontId="12" fillId="0" borderId="0" xfId="0" applyNumberFormat="1" applyFont="1" applyBorder="1"/>
    <xf numFmtId="4" fontId="12" fillId="0" borderId="0" xfId="0" applyNumberFormat="1" applyFont="1" applyBorder="1"/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Border="1"/>
    <xf numFmtId="3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/>
    <xf numFmtId="4" fontId="17" fillId="0" borderId="0" xfId="0" applyNumberFormat="1" applyFont="1" applyBorder="1"/>
    <xf numFmtId="0" fontId="15" fillId="0" borderId="0" xfId="0" applyFont="1" applyBorder="1"/>
    <xf numFmtId="3" fontId="18" fillId="0" borderId="0" xfId="0" applyNumberFormat="1" applyFont="1" applyBorder="1"/>
    <xf numFmtId="3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4" fillId="0" borderId="0" xfId="0" applyFont="1"/>
    <xf numFmtId="0" fontId="17" fillId="0" borderId="10" xfId="0" applyFont="1" applyFill="1" applyBorder="1"/>
    <xf numFmtId="4" fontId="17" fillId="0" borderId="5" xfId="0" applyNumberFormat="1" applyFont="1" applyBorder="1"/>
    <xf numFmtId="3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3" fillId="2" borderId="24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3" fontId="17" fillId="0" borderId="48" xfId="0" applyNumberFormat="1" applyFont="1" applyBorder="1"/>
    <xf numFmtId="4" fontId="17" fillId="0" borderId="36" xfId="0" applyNumberFormat="1" applyFont="1" applyBorder="1"/>
    <xf numFmtId="164" fontId="17" fillId="0" borderId="10" xfId="0" applyNumberFormat="1" applyFont="1" applyBorder="1"/>
    <xf numFmtId="0" fontId="17" fillId="0" borderId="24" xfId="0" applyFont="1" applyBorder="1"/>
    <xf numFmtId="164" fontId="17" fillId="0" borderId="0" xfId="0" applyNumberFormat="1" applyFont="1" applyBorder="1"/>
    <xf numFmtId="3" fontId="13" fillId="0" borderId="0" xfId="0" applyNumberFormat="1" applyFont="1" applyFill="1" applyBorder="1"/>
    <xf numFmtId="164" fontId="16" fillId="0" borderId="0" xfId="0" applyNumberFormat="1" applyFont="1" applyBorder="1" applyAlignment="1">
      <alignment horizontal="right"/>
    </xf>
    <xf numFmtId="0" fontId="12" fillId="0" borderId="0" xfId="1" applyFont="1" applyAlignment="1">
      <alignment vertical="center"/>
    </xf>
    <xf numFmtId="0" fontId="13" fillId="2" borderId="27" xfId="0" applyFont="1" applyFill="1" applyBorder="1" applyAlignment="1">
      <alignment horizontal="center" wrapText="1"/>
    </xf>
    <xf numFmtId="3" fontId="21" fillId="0" borderId="0" xfId="1" applyNumberFormat="1" applyFont="1"/>
    <xf numFmtId="4" fontId="21" fillId="0" borderId="0" xfId="1" applyNumberFormat="1" applyFont="1"/>
    <xf numFmtId="3" fontId="15" fillId="0" borderId="0" xfId="0" applyNumberFormat="1" applyFont="1"/>
    <xf numFmtId="4" fontId="15" fillId="0" borderId="0" xfId="0" applyNumberFormat="1" applyFont="1"/>
    <xf numFmtId="3" fontId="17" fillId="0" borderId="64" xfId="0" applyNumberFormat="1" applyFont="1" applyBorder="1"/>
    <xf numFmtId="0" fontId="26" fillId="0" borderId="0" xfId="14" applyFont="1"/>
    <xf numFmtId="0" fontId="24" fillId="0" borderId="0" xfId="14" applyFont="1" applyAlignment="1"/>
    <xf numFmtId="165" fontId="24" fillId="0" borderId="41" xfId="14" applyNumberFormat="1" applyFont="1" applyBorder="1" applyAlignment="1">
      <alignment horizontal="right" wrapText="1"/>
    </xf>
    <xf numFmtId="0" fontId="14" fillId="0" borderId="0" xfId="14" applyFont="1" applyBorder="1"/>
    <xf numFmtId="14" fontId="12" fillId="0" borderId="0" xfId="14" applyNumberFormat="1" applyFont="1"/>
    <xf numFmtId="0" fontId="12" fillId="0" borderId="0" xfId="14" applyFont="1" applyAlignment="1">
      <alignment horizontal="left"/>
    </xf>
    <xf numFmtId="0" fontId="12" fillId="0" borderId="0" xfId="14" applyFont="1" applyAlignment="1">
      <alignment vertical="center"/>
    </xf>
    <xf numFmtId="0" fontId="15" fillId="0" borderId="0" xfId="14" applyFont="1" applyAlignment="1">
      <alignment vertical="center"/>
    </xf>
    <xf numFmtId="0" fontId="16" fillId="0" borderId="0" xfId="14" applyFont="1" applyBorder="1" applyAlignment="1">
      <alignment vertical="center"/>
    </xf>
    <xf numFmtId="0" fontId="18" fillId="0" borderId="0" xfId="14" applyFont="1" applyBorder="1" applyAlignment="1">
      <alignment vertical="center"/>
    </xf>
    <xf numFmtId="0" fontId="12" fillId="0" borderId="0" xfId="0" applyFont="1" applyAlignment="1">
      <alignment vertical="center"/>
    </xf>
    <xf numFmtId="3" fontId="13" fillId="0" borderId="0" xfId="14" applyNumberFormat="1" applyFont="1" applyAlignment="1">
      <alignment vertical="center"/>
    </xf>
    <xf numFmtId="0" fontId="13" fillId="0" borderId="0" xfId="14" applyFont="1" applyAlignment="1">
      <alignment horizontal="left" vertical="center"/>
    </xf>
    <xf numFmtId="3" fontId="12" fillId="0" borderId="0" xfId="14" applyNumberFormat="1" applyFont="1" applyAlignment="1">
      <alignment vertical="center"/>
    </xf>
    <xf numFmtId="3" fontId="13" fillId="3" borderId="12" xfId="14" applyNumberFormat="1" applyFont="1" applyFill="1" applyBorder="1" applyAlignment="1">
      <alignment horizontal="right" vertical="center"/>
    </xf>
    <xf numFmtId="165" fontId="12" fillId="0" borderId="50" xfId="15" applyNumberFormat="1" applyFont="1" applyBorder="1" applyAlignment="1">
      <alignment horizontal="right" vertical="center"/>
    </xf>
    <xf numFmtId="165" fontId="12" fillId="0" borderId="41" xfId="14" applyNumberFormat="1" applyFont="1" applyBorder="1" applyAlignment="1">
      <alignment horizontal="right" vertical="center" wrapText="1"/>
    </xf>
    <xf numFmtId="3" fontId="24" fillId="0" borderId="3" xfId="14" applyNumberFormat="1" applyFont="1" applyBorder="1" applyAlignment="1">
      <alignment vertical="center"/>
    </xf>
    <xf numFmtId="4" fontId="24" fillId="0" borderId="26" xfId="14" applyNumberFormat="1" applyFont="1" applyBorder="1" applyAlignment="1">
      <alignment vertical="center"/>
    </xf>
    <xf numFmtId="4" fontId="24" fillId="0" borderId="9" xfId="14" applyNumberFormat="1" applyFont="1" applyBorder="1" applyAlignment="1">
      <alignment horizontal="right" vertical="center"/>
    </xf>
    <xf numFmtId="4" fontId="24" fillId="0" borderId="43" xfId="14" applyNumberFormat="1" applyFont="1" applyFill="1" applyBorder="1" applyAlignment="1">
      <alignment horizontal="right" vertical="center"/>
    </xf>
    <xf numFmtId="3" fontId="24" fillId="0" borderId="3" xfId="14" applyNumberFormat="1" applyFont="1" applyBorder="1" applyAlignment="1">
      <alignment horizontal="right" vertical="center"/>
    </xf>
    <xf numFmtId="3" fontId="25" fillId="3" borderId="12" xfId="14" applyNumberFormat="1" applyFont="1" applyFill="1" applyBorder="1" applyAlignment="1">
      <alignment horizontal="right" vertical="center"/>
    </xf>
    <xf numFmtId="3" fontId="17" fillId="3" borderId="10" xfId="14" applyNumberFormat="1" applyFont="1" applyFill="1" applyBorder="1" applyAlignment="1">
      <alignment horizontal="right" vertical="center"/>
    </xf>
    <xf numFmtId="165" fontId="24" fillId="0" borderId="2" xfId="15" applyNumberFormat="1" applyFont="1" applyBorder="1" applyAlignment="1">
      <alignment horizontal="right" vertical="center"/>
    </xf>
    <xf numFmtId="165" fontId="24" fillId="0" borderId="41" xfId="14" applyNumberFormat="1" applyFont="1" applyBorder="1" applyAlignment="1">
      <alignment horizontal="right" vertical="center" wrapText="1"/>
    </xf>
    <xf numFmtId="3" fontId="24" fillId="0" borderId="2" xfId="14" applyNumberFormat="1" applyFont="1" applyFill="1" applyBorder="1" applyAlignment="1">
      <alignment vertical="center"/>
    </xf>
    <xf numFmtId="4" fontId="24" fillId="0" borderId="8" xfId="14" applyNumberFormat="1" applyFont="1" applyBorder="1" applyAlignment="1">
      <alignment horizontal="right" vertical="center"/>
    </xf>
    <xf numFmtId="4" fontId="24" fillId="0" borderId="22" xfId="14" applyNumberFormat="1" applyFont="1" applyBorder="1" applyAlignment="1">
      <alignment horizontal="right" vertical="center"/>
    </xf>
    <xf numFmtId="3" fontId="24" fillId="0" borderId="2" xfId="14" applyNumberFormat="1" applyFont="1" applyBorder="1" applyAlignment="1">
      <alignment horizontal="right" vertical="center"/>
    </xf>
    <xf numFmtId="3" fontId="24" fillId="0" borderId="8" xfId="14" applyNumberFormat="1" applyFont="1" applyBorder="1" applyAlignment="1">
      <alignment horizontal="right" vertical="center"/>
    </xf>
    <xf numFmtId="3" fontId="24" fillId="0" borderId="3" xfId="14" applyNumberFormat="1" applyFont="1" applyFill="1" applyBorder="1" applyAlignment="1">
      <alignment vertical="center"/>
    </xf>
    <xf numFmtId="4" fontId="24" fillId="0" borderId="26" xfId="14" applyNumberFormat="1" applyFont="1" applyBorder="1" applyAlignment="1">
      <alignment horizontal="right" vertical="center"/>
    </xf>
    <xf numFmtId="3" fontId="24" fillId="0" borderId="9" xfId="14" applyNumberFormat="1" applyFont="1" applyBorder="1" applyAlignment="1">
      <alignment horizontal="right" vertical="center"/>
    </xf>
    <xf numFmtId="3" fontId="12" fillId="0" borderId="9" xfId="14" applyNumberFormat="1" applyFont="1" applyBorder="1" applyAlignment="1">
      <alignment horizontal="right" vertical="center"/>
    </xf>
    <xf numFmtId="0" fontId="24" fillId="0" borderId="26" xfId="14" applyFont="1" applyBorder="1" applyAlignment="1">
      <alignment wrapText="1"/>
    </xf>
    <xf numFmtId="0" fontId="12" fillId="0" borderId="0" xfId="14" applyFont="1" applyBorder="1" applyAlignment="1"/>
    <xf numFmtId="0" fontId="17" fillId="0" borderId="0" xfId="15" applyFont="1" applyBorder="1" applyAlignment="1"/>
    <xf numFmtId="0" fontId="24" fillId="0" borderId="22" xfId="14" applyFont="1" applyBorder="1" applyAlignment="1">
      <alignment vertical="center" wrapText="1"/>
    </xf>
    <xf numFmtId="0" fontId="18" fillId="0" borderId="0" xfId="14" applyFont="1" applyBorder="1" applyAlignment="1"/>
    <xf numFmtId="14" fontId="12" fillId="0" borderId="0" xfId="14" applyNumberFormat="1" applyFont="1" applyBorder="1" applyAlignment="1"/>
    <xf numFmtId="0" fontId="12" fillId="0" borderId="0" xfId="14" applyFont="1" applyAlignment="1">
      <alignment horizontal="center"/>
    </xf>
    <xf numFmtId="0" fontId="12" fillId="0" borderId="0" xfId="14" applyFont="1" applyFill="1" applyAlignment="1"/>
    <xf numFmtId="0" fontId="12" fillId="0" borderId="0" xfId="14" applyFont="1" applyFill="1"/>
    <xf numFmtId="0" fontId="15" fillId="0" borderId="0" xfId="14" applyFont="1" applyAlignment="1">
      <alignment horizontal="left"/>
    </xf>
    <xf numFmtId="0" fontId="15" fillId="0" borderId="0" xfId="14" applyFont="1" applyAlignment="1">
      <alignment horizontal="center"/>
    </xf>
    <xf numFmtId="3" fontId="28" fillId="0" borderId="0" xfId="14" applyNumberFormat="1" applyFont="1"/>
    <xf numFmtId="4" fontId="28" fillId="0" borderId="0" xfId="14" applyNumberFormat="1" applyFont="1"/>
    <xf numFmtId="0" fontId="16" fillId="0" borderId="0" xfId="14" applyFont="1" applyBorder="1" applyAlignment="1">
      <alignment horizontal="center"/>
    </xf>
    <xf numFmtId="0" fontId="17" fillId="0" borderId="76" xfId="15" applyFont="1" applyFill="1" applyBorder="1" applyAlignment="1"/>
    <xf numFmtId="0" fontId="17" fillId="0" borderId="0" xfId="15" applyFont="1" applyFill="1" applyBorder="1"/>
    <xf numFmtId="0" fontId="13" fillId="0" borderId="0" xfId="14" applyFont="1" applyAlignment="1">
      <alignment vertical="center"/>
    </xf>
    <xf numFmtId="3" fontId="12" fillId="0" borderId="0" xfId="14" applyNumberFormat="1" applyFont="1" applyAlignment="1">
      <alignment horizontal="left" vertical="center"/>
    </xf>
    <xf numFmtId="3" fontId="13" fillId="0" borderId="0" xfId="14" applyNumberFormat="1" applyFont="1" applyAlignment="1">
      <alignment horizontal="left" vertical="center"/>
    </xf>
    <xf numFmtId="165" fontId="12" fillId="0" borderId="12" xfId="15" applyNumberFormat="1" applyFont="1" applyBorder="1" applyAlignment="1">
      <alignment horizontal="right" vertical="center"/>
    </xf>
    <xf numFmtId="165" fontId="12" fillId="0" borderId="22" xfId="14" applyNumberFormat="1" applyFont="1" applyBorder="1" applyAlignment="1">
      <alignment horizontal="right" vertical="center" wrapText="1"/>
    </xf>
    <xf numFmtId="0" fontId="12" fillId="0" borderId="0" xfId="14" applyFont="1" applyAlignment="1">
      <alignment horizontal="left" vertical="center"/>
    </xf>
    <xf numFmtId="3" fontId="24" fillId="5" borderId="2" xfId="14" applyNumberFormat="1" applyFont="1" applyFill="1" applyBorder="1" applyAlignment="1">
      <alignment vertical="center"/>
    </xf>
    <xf numFmtId="4" fontId="24" fillId="5" borderId="41" xfId="14" applyNumberFormat="1" applyFont="1" applyFill="1" applyBorder="1" applyAlignment="1">
      <alignment vertical="center"/>
    </xf>
    <xf numFmtId="4" fontId="24" fillId="5" borderId="8" xfId="14" applyNumberFormat="1" applyFont="1" applyFill="1" applyBorder="1" applyAlignment="1">
      <alignment horizontal="right" vertical="center"/>
    </xf>
    <xf numFmtId="4" fontId="24" fillId="5" borderId="41" xfId="14" applyNumberFormat="1" applyFont="1" applyFill="1" applyBorder="1" applyAlignment="1">
      <alignment horizontal="right" vertical="center"/>
    </xf>
    <xf numFmtId="3" fontId="24" fillId="5" borderId="50" xfId="14" applyNumberFormat="1" applyFont="1" applyFill="1" applyBorder="1" applyAlignment="1">
      <alignment horizontal="right" vertical="center"/>
    </xf>
    <xf numFmtId="3" fontId="24" fillId="5" borderId="41" xfId="14" applyNumberFormat="1" applyFont="1" applyFill="1" applyBorder="1" applyAlignment="1">
      <alignment horizontal="right" vertical="center"/>
    </xf>
    <xf numFmtId="0" fontId="24" fillId="0" borderId="0" xfId="14" applyFont="1" applyAlignment="1">
      <alignment horizontal="left" vertical="center"/>
    </xf>
    <xf numFmtId="0" fontId="24" fillId="0" borderId="0" xfId="14" applyFont="1" applyAlignment="1">
      <alignment vertical="center"/>
    </xf>
    <xf numFmtId="0" fontId="24" fillId="0" borderId="17" xfId="14" applyFont="1" applyBorder="1" applyAlignment="1">
      <alignment vertical="center"/>
    </xf>
    <xf numFmtId="3" fontId="24" fillId="5" borderId="51" xfId="14" applyNumberFormat="1" applyFont="1" applyFill="1" applyBorder="1" applyAlignment="1">
      <alignment horizontal="right" vertical="center"/>
    </xf>
    <xf numFmtId="3" fontId="24" fillId="5" borderId="43" xfId="14" applyNumberFormat="1" applyFont="1" applyFill="1" applyBorder="1" applyAlignment="1">
      <alignment horizontal="right" vertical="center"/>
    </xf>
    <xf numFmtId="3" fontId="24" fillId="5" borderId="66" xfId="14" applyNumberFormat="1" applyFont="1" applyFill="1" applyBorder="1" applyAlignment="1">
      <alignment horizontal="right" vertical="center"/>
    </xf>
    <xf numFmtId="3" fontId="24" fillId="5" borderId="46" xfId="14" applyNumberFormat="1" applyFont="1" applyFill="1" applyBorder="1" applyAlignment="1">
      <alignment horizontal="right" vertical="center"/>
    </xf>
    <xf numFmtId="3" fontId="24" fillId="0" borderId="0" xfId="14" applyNumberFormat="1" applyFont="1" applyAlignment="1">
      <alignment horizontal="left" vertical="center"/>
    </xf>
    <xf numFmtId="2" fontId="12" fillId="0" borderId="0" xfId="14" applyNumberFormat="1" applyFont="1" applyAlignment="1">
      <alignment horizontal="right" vertical="center"/>
    </xf>
    <xf numFmtId="49" fontId="24" fillId="0" borderId="25" xfId="14" applyNumberFormat="1" applyFont="1" applyFill="1" applyBorder="1" applyAlignment="1">
      <alignment horizontal="left" vertical="center" wrapText="1" shrinkToFit="1"/>
    </xf>
    <xf numFmtId="3" fontId="24" fillId="0" borderId="13" xfId="14" applyNumberFormat="1" applyFont="1" applyBorder="1" applyAlignment="1">
      <alignment vertical="center"/>
    </xf>
    <xf numFmtId="4" fontId="24" fillId="0" borderId="42" xfId="14" applyNumberFormat="1" applyFont="1" applyBorder="1" applyAlignment="1">
      <alignment vertical="center"/>
    </xf>
    <xf numFmtId="3" fontId="24" fillId="0" borderId="49" xfId="14" applyNumberFormat="1" applyFont="1" applyBorder="1" applyAlignment="1">
      <alignment horizontal="right" vertical="center"/>
    </xf>
    <xf numFmtId="3" fontId="24" fillId="0" borderId="15" xfId="14" applyNumberFormat="1" applyFont="1" applyBorder="1" applyAlignment="1">
      <alignment horizontal="right" vertical="center"/>
    </xf>
    <xf numFmtId="3" fontId="25" fillId="3" borderId="18" xfId="14" applyNumberFormat="1" applyFont="1" applyFill="1" applyBorder="1" applyAlignment="1">
      <alignment horizontal="right" vertical="center"/>
    </xf>
    <xf numFmtId="3" fontId="24" fillId="5" borderId="8" xfId="14" applyNumberFormat="1" applyFont="1" applyFill="1" applyBorder="1" applyAlignment="1">
      <alignment horizontal="right" vertical="center"/>
    </xf>
    <xf numFmtId="3" fontId="17" fillId="3" borderId="10" xfId="14" applyNumberFormat="1" applyFont="1" applyFill="1" applyBorder="1" applyAlignment="1">
      <alignment vertical="center"/>
    </xf>
    <xf numFmtId="0" fontId="17" fillId="0" borderId="0" xfId="14" applyFont="1" applyAlignment="1">
      <alignment horizontal="left" vertical="center" wrapText="1"/>
    </xf>
    <xf numFmtId="0" fontId="17" fillId="0" borderId="0" xfId="14" applyFont="1" applyAlignment="1">
      <alignment vertical="center"/>
    </xf>
    <xf numFmtId="3" fontId="24" fillId="0" borderId="51" xfId="14" applyNumberFormat="1" applyFont="1" applyBorder="1" applyAlignment="1">
      <alignment vertical="center"/>
    </xf>
    <xf numFmtId="4" fontId="24" fillId="0" borderId="9" xfId="14" applyNumberFormat="1" applyFont="1" applyFill="1" applyBorder="1" applyAlignment="1">
      <alignment horizontal="right" vertical="center"/>
    </xf>
    <xf numFmtId="4" fontId="24" fillId="0" borderId="71" xfId="14" applyNumberFormat="1" applyFont="1" applyFill="1" applyBorder="1" applyAlignment="1">
      <alignment horizontal="right" vertical="center"/>
    </xf>
    <xf numFmtId="3" fontId="24" fillId="0" borderId="71" xfId="14" applyNumberFormat="1" applyFont="1" applyBorder="1" applyAlignment="1">
      <alignment horizontal="right" vertical="center"/>
    </xf>
    <xf numFmtId="165" fontId="24" fillId="0" borderId="50" xfId="15" applyNumberFormat="1" applyFont="1" applyBorder="1" applyAlignment="1">
      <alignment horizontal="right" vertical="center"/>
    </xf>
    <xf numFmtId="0" fontId="16" fillId="0" borderId="0" xfId="14" applyFont="1" applyAlignment="1">
      <alignment vertical="center"/>
    </xf>
    <xf numFmtId="3" fontId="24" fillId="0" borderId="2" xfId="14" applyNumberFormat="1" applyFont="1" applyBorder="1" applyAlignment="1">
      <alignment vertical="center"/>
    </xf>
    <xf numFmtId="4" fontId="24" fillId="0" borderId="22" xfId="14" applyNumberFormat="1" applyFont="1" applyBorder="1" applyAlignment="1">
      <alignment vertical="center"/>
    </xf>
    <xf numFmtId="3" fontId="24" fillId="0" borderId="50" xfId="14" applyNumberFormat="1" applyFont="1" applyBorder="1" applyAlignment="1">
      <alignment vertical="center"/>
    </xf>
    <xf numFmtId="4" fontId="24" fillId="0" borderId="70" xfId="14" applyNumberFormat="1" applyFont="1" applyBorder="1" applyAlignment="1">
      <alignment horizontal="right" vertical="center"/>
    </xf>
    <xf numFmtId="3" fontId="24" fillId="0" borderId="70" xfId="14" applyNumberFormat="1" applyFont="1" applyBorder="1" applyAlignment="1">
      <alignment horizontal="right" vertical="center"/>
    </xf>
    <xf numFmtId="3" fontId="24" fillId="5" borderId="2" xfId="14" applyNumberFormat="1" applyFont="1" applyFill="1" applyBorder="1" applyAlignment="1">
      <alignment horizontal="right" vertical="center"/>
    </xf>
    <xf numFmtId="3" fontId="24" fillId="0" borderId="0" xfId="14" applyNumberFormat="1" applyFont="1" applyAlignment="1"/>
    <xf numFmtId="3" fontId="14" fillId="0" borderId="0" xfId="14" applyNumberFormat="1" applyFont="1" applyBorder="1" applyAlignment="1">
      <alignment horizontal="right"/>
    </xf>
    <xf numFmtId="3" fontId="24" fillId="0" borderId="2" xfId="20" applyNumberFormat="1" applyFont="1" applyFill="1" applyBorder="1" applyAlignment="1">
      <alignment horizontal="right" vertical="center"/>
    </xf>
    <xf numFmtId="4" fontId="24" fillId="0" borderId="41" xfId="14" applyNumberFormat="1" applyFont="1" applyBorder="1" applyAlignment="1">
      <alignment horizontal="right" vertical="center"/>
    </xf>
    <xf numFmtId="0" fontId="24" fillId="5" borderId="22" xfId="14" applyFont="1" applyFill="1" applyBorder="1" applyAlignment="1">
      <alignment vertical="center" wrapText="1"/>
    </xf>
    <xf numFmtId="0" fontId="12" fillId="0" borderId="0" xfId="14" applyFont="1" applyBorder="1" applyAlignment="1">
      <alignment vertical="center" wrapText="1"/>
    </xf>
    <xf numFmtId="0" fontId="31" fillId="0" borderId="0" xfId="14" applyFont="1" applyBorder="1"/>
    <xf numFmtId="3" fontId="24" fillId="0" borderId="3" xfId="14" applyNumberFormat="1" applyFont="1" applyBorder="1" applyAlignment="1">
      <alignment horizontal="right"/>
    </xf>
    <xf numFmtId="3" fontId="24" fillId="0" borderId="9" xfId="14" applyNumberFormat="1" applyFont="1" applyBorder="1" applyAlignment="1">
      <alignment horizontal="right"/>
    </xf>
    <xf numFmtId="3" fontId="24" fillId="0" borderId="71" xfId="14" applyNumberFormat="1" applyFont="1" applyBorder="1" applyAlignment="1">
      <alignment horizontal="right"/>
    </xf>
    <xf numFmtId="165" fontId="24" fillId="0" borderId="50" xfId="15" applyNumberFormat="1" applyFont="1" applyBorder="1" applyAlignment="1">
      <alignment horizontal="right"/>
    </xf>
    <xf numFmtId="3" fontId="17" fillId="3" borderId="10" xfId="14" applyNumberFormat="1" applyFont="1" applyFill="1" applyBorder="1" applyAlignment="1">
      <alignment horizontal="right"/>
    </xf>
    <xf numFmtId="4" fontId="24" fillId="0" borderId="41" xfId="14" applyNumberFormat="1" applyFont="1" applyFill="1" applyBorder="1" applyAlignment="1">
      <alignment vertical="center"/>
    </xf>
    <xf numFmtId="4" fontId="24" fillId="0" borderId="43" xfId="14" applyNumberFormat="1" applyFont="1" applyFill="1" applyBorder="1" applyAlignment="1">
      <alignment vertical="center"/>
    </xf>
    <xf numFmtId="0" fontId="33" fillId="0" borderId="0" xfId="14" applyFont="1"/>
    <xf numFmtId="4" fontId="12" fillId="0" borderId="0" xfId="14" applyNumberFormat="1" applyFont="1" applyFill="1"/>
    <xf numFmtId="3" fontId="12" fillId="0" borderId="0" xfId="14" applyNumberFormat="1" applyFont="1" applyFill="1"/>
    <xf numFmtId="0" fontId="17" fillId="0" borderId="0" xfId="0" applyFont="1" applyAlignment="1">
      <alignment vertical="center"/>
    </xf>
    <xf numFmtId="4" fontId="13" fillId="0" borderId="0" xfId="14" applyNumberFormat="1" applyFont="1" applyFill="1"/>
    <xf numFmtId="0" fontId="14" fillId="0" borderId="0" xfId="14" applyFont="1" applyAlignment="1">
      <alignment vertical="center"/>
    </xf>
    <xf numFmtId="3" fontId="17" fillId="3" borderId="10" xfId="0" applyNumberFormat="1" applyFont="1" applyFill="1" applyBorder="1"/>
    <xf numFmtId="3" fontId="25" fillId="3" borderId="22" xfId="14" applyNumberFormat="1" applyFont="1" applyFill="1" applyBorder="1" applyAlignment="1">
      <alignment horizontal="right" vertical="center"/>
    </xf>
    <xf numFmtId="3" fontId="25" fillId="3" borderId="26" xfId="14" applyNumberFormat="1" applyFont="1" applyFill="1" applyBorder="1" applyAlignment="1">
      <alignment horizontal="right" vertical="center"/>
    </xf>
    <xf numFmtId="3" fontId="25" fillId="3" borderId="23" xfId="14" applyNumberFormat="1" applyFont="1" applyFill="1" applyBorder="1" applyAlignment="1">
      <alignment horizontal="right" vertical="center"/>
    </xf>
    <xf numFmtId="3" fontId="12" fillId="0" borderId="26" xfId="14" applyNumberFormat="1" applyFont="1" applyBorder="1" applyAlignment="1">
      <alignment horizontal="right" vertical="center"/>
    </xf>
    <xf numFmtId="164" fontId="18" fillId="0" borderId="0" xfId="1" applyNumberFormat="1" applyFont="1" applyAlignment="1">
      <alignment horizontal="right"/>
    </xf>
    <xf numFmtId="4" fontId="18" fillId="3" borderId="12" xfId="0" applyNumberFormat="1" applyFont="1" applyFill="1" applyBorder="1" applyAlignment="1">
      <alignment vertical="center"/>
    </xf>
    <xf numFmtId="4" fontId="18" fillId="3" borderId="11" xfId="0" applyNumberFormat="1" applyFont="1" applyFill="1" applyBorder="1" applyAlignment="1">
      <alignment vertical="center"/>
    </xf>
    <xf numFmtId="4" fontId="14" fillId="0" borderId="41" xfId="0" applyNumberFormat="1" applyFont="1" applyFill="1" applyBorder="1"/>
    <xf numFmtId="4" fontId="14" fillId="0" borderId="8" xfId="0" applyNumberFormat="1" applyFont="1" applyFill="1" applyBorder="1"/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165" fontId="14" fillId="0" borderId="16" xfId="0" applyNumberFormat="1" applyFont="1" applyBorder="1" applyAlignment="1">
      <alignment horizontal="right" vertical="center"/>
    </xf>
    <xf numFmtId="0" fontId="14" fillId="0" borderId="58" xfId="0" applyFont="1" applyFill="1" applyBorder="1"/>
    <xf numFmtId="3" fontId="14" fillId="0" borderId="13" xfId="0" applyNumberFormat="1" applyFont="1" applyFill="1" applyBorder="1" applyAlignment="1">
      <alignment horizontal="right"/>
    </xf>
    <xf numFmtId="4" fontId="14" fillId="0" borderId="42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3" fontId="18" fillId="3" borderId="18" xfId="0" applyNumberFormat="1" applyFont="1" applyFill="1" applyBorder="1" applyAlignment="1">
      <alignment horizontal="right"/>
    </xf>
    <xf numFmtId="164" fontId="14" fillId="0" borderId="25" xfId="0" applyNumberFormat="1" applyFont="1" applyBorder="1"/>
    <xf numFmtId="0" fontId="14" fillId="0" borderId="47" xfId="0" applyFont="1" applyBorder="1"/>
    <xf numFmtId="3" fontId="14" fillId="0" borderId="2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right"/>
    </xf>
    <xf numFmtId="4" fontId="14" fillId="0" borderId="8" xfId="0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right"/>
    </xf>
    <xf numFmtId="164" fontId="14" fillId="0" borderId="22" xfId="0" applyNumberFormat="1" applyFont="1" applyBorder="1"/>
    <xf numFmtId="0" fontId="14" fillId="0" borderId="59" xfId="0" applyFont="1" applyBorder="1"/>
    <xf numFmtId="3" fontId="14" fillId="0" borderId="3" xfId="0" applyNumberFormat="1" applyFont="1" applyFill="1" applyBorder="1" applyAlignment="1">
      <alignment horizontal="right"/>
    </xf>
    <xf numFmtId="4" fontId="14" fillId="0" borderId="43" xfId="0" applyNumberFormat="1" applyFont="1" applyFill="1" applyBorder="1" applyAlignment="1">
      <alignment horizontal="right"/>
    </xf>
    <xf numFmtId="4" fontId="14" fillId="0" borderId="9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3" fontId="14" fillId="0" borderId="3" xfId="0" applyNumberFormat="1" applyFont="1" applyFill="1" applyBorder="1"/>
    <xf numFmtId="4" fontId="14" fillId="0" borderId="43" xfId="0" applyNumberFormat="1" applyFont="1" applyFill="1" applyBorder="1"/>
    <xf numFmtId="4" fontId="14" fillId="0" borderId="9" xfId="0" applyNumberFormat="1" applyFont="1" applyFill="1" applyBorder="1"/>
    <xf numFmtId="3" fontId="18" fillId="3" borderId="11" xfId="0" applyNumberFormat="1" applyFont="1" applyFill="1" applyBorder="1"/>
    <xf numFmtId="164" fontId="14" fillId="0" borderId="26" xfId="0" applyNumberFormat="1" applyFont="1" applyBorder="1"/>
    <xf numFmtId="0" fontId="14" fillId="0" borderId="58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4" fontId="14" fillId="0" borderId="42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vertical="center"/>
    </xf>
    <xf numFmtId="4" fontId="14" fillId="0" borderId="45" xfId="0" applyNumberFormat="1" applyFont="1" applyFill="1" applyBorder="1" applyAlignment="1">
      <alignment horizontal="right" vertical="center"/>
    </xf>
    <xf numFmtId="3" fontId="18" fillId="3" borderId="18" xfId="0" applyNumberFormat="1" applyFont="1" applyFill="1" applyBorder="1" applyAlignment="1">
      <alignment horizontal="right" vertical="center"/>
    </xf>
    <xf numFmtId="164" fontId="14" fillId="0" borderId="25" xfId="0" applyNumberFormat="1" applyFont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right" vertical="center"/>
    </xf>
    <xf numFmtId="4" fontId="14" fillId="0" borderId="43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46" xfId="0" applyNumberFormat="1" applyFont="1" applyFill="1" applyBorder="1" applyAlignment="1">
      <alignment horizontal="right" vertical="center"/>
    </xf>
    <xf numFmtId="3" fontId="18" fillId="3" borderId="11" xfId="0" applyNumberFormat="1" applyFont="1" applyFill="1" applyBorder="1" applyAlignment="1">
      <alignment horizontal="right" vertical="center"/>
    </xf>
    <xf numFmtId="164" fontId="14" fillId="0" borderId="26" xfId="0" applyNumberFormat="1" applyFont="1" applyBorder="1" applyAlignment="1">
      <alignment vertical="center"/>
    </xf>
    <xf numFmtId="4" fontId="14" fillId="0" borderId="42" xfId="0" applyNumberFormat="1" applyFont="1" applyBorder="1"/>
    <xf numFmtId="4" fontId="14" fillId="0" borderId="15" xfId="0" applyNumberFormat="1" applyFont="1" applyBorder="1"/>
    <xf numFmtId="0" fontId="14" fillId="0" borderId="12" xfId="0" applyFont="1" applyFill="1" applyBorder="1" applyAlignment="1">
      <alignment wrapText="1"/>
    </xf>
    <xf numFmtId="3" fontId="14" fillId="0" borderId="2" xfId="0" applyNumberFormat="1" applyFont="1" applyBorder="1"/>
    <xf numFmtId="4" fontId="14" fillId="0" borderId="41" xfId="0" applyNumberFormat="1" applyFont="1" applyBorder="1"/>
    <xf numFmtId="4" fontId="14" fillId="0" borderId="8" xfId="0" applyNumberFormat="1" applyFont="1" applyBorder="1"/>
    <xf numFmtId="4" fontId="14" fillId="0" borderId="9" xfId="0" applyNumberFormat="1" applyFont="1" applyBorder="1"/>
    <xf numFmtId="49" fontId="14" fillId="0" borderId="1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75" xfId="0" applyNumberFormat="1" applyFont="1" applyBorder="1"/>
    <xf numFmtId="3" fontId="18" fillId="3" borderId="14" xfId="0" applyNumberFormat="1" applyFont="1" applyFill="1" applyBorder="1"/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38" xfId="0" applyNumberFormat="1" applyFont="1" applyBorder="1"/>
    <xf numFmtId="3" fontId="18" fillId="3" borderId="18" xfId="0" applyNumberFormat="1" applyFont="1" applyFill="1" applyBorder="1"/>
    <xf numFmtId="49" fontId="14" fillId="0" borderId="2" xfId="0" applyNumberFormat="1" applyFont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/>
    </xf>
    <xf numFmtId="49" fontId="14" fillId="0" borderId="17" xfId="0" applyNumberFormat="1" applyFont="1" applyFill="1" applyBorder="1"/>
    <xf numFmtId="3" fontId="18" fillId="3" borderId="12" xfId="0" applyNumberFormat="1" applyFont="1" applyFill="1" applyBorder="1"/>
    <xf numFmtId="49" fontId="14" fillId="0" borderId="3" xfId="0" applyNumberFormat="1" applyFont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/>
    </xf>
    <xf numFmtId="49" fontId="14" fillId="0" borderId="37" xfId="0" applyNumberFormat="1" applyFont="1" applyFill="1" applyBorder="1"/>
    <xf numFmtId="166" fontId="14" fillId="0" borderId="18" xfId="0" applyNumberFormat="1" applyFont="1" applyBorder="1" applyAlignment="1">
      <alignment wrapText="1"/>
    </xf>
    <xf numFmtId="3" fontId="14" fillId="0" borderId="49" xfId="0" applyNumberFormat="1" applyFont="1" applyBorder="1"/>
    <xf numFmtId="3" fontId="14" fillId="0" borderId="15" xfId="0" applyNumberFormat="1" applyFont="1" applyBorder="1"/>
    <xf numFmtId="4" fontId="14" fillId="0" borderId="38" xfId="0" applyNumberFormat="1" applyFont="1" applyBorder="1"/>
    <xf numFmtId="164" fontId="14" fillId="0" borderId="18" xfId="0" applyNumberFormat="1" applyFont="1" applyBorder="1"/>
    <xf numFmtId="0" fontId="14" fillId="0" borderId="25" xfId="0" applyFont="1" applyBorder="1"/>
    <xf numFmtId="0" fontId="14" fillId="0" borderId="12" xfId="0" applyFont="1" applyBorder="1" applyAlignment="1">
      <alignment wrapText="1"/>
    </xf>
    <xf numFmtId="3" fontId="14" fillId="0" borderId="50" xfId="0" applyNumberFormat="1" applyFont="1" applyFill="1" applyBorder="1"/>
    <xf numFmtId="3" fontId="14" fillId="0" borderId="8" xfId="0" applyNumberFormat="1" applyFont="1" applyFill="1" applyBorder="1"/>
    <xf numFmtId="4" fontId="14" fillId="0" borderId="17" xfId="0" applyNumberFormat="1" applyFont="1" applyFill="1" applyBorder="1"/>
    <xf numFmtId="164" fontId="14" fillId="0" borderId="12" xfId="0" applyNumberFormat="1" applyFont="1" applyBorder="1"/>
    <xf numFmtId="0" fontId="14" fillId="0" borderId="22" xfId="0" applyFont="1" applyBorder="1"/>
    <xf numFmtId="164" fontId="14" fillId="0" borderId="12" xfId="0" applyNumberFormat="1" applyFont="1" applyBorder="1" applyAlignment="1">
      <alignment horizontal="right"/>
    </xf>
    <xf numFmtId="0" fontId="14" fillId="0" borderId="12" xfId="0" applyFont="1" applyBorder="1"/>
    <xf numFmtId="3" fontId="14" fillId="0" borderId="50" xfId="0" applyNumberFormat="1" applyFont="1" applyBorder="1"/>
    <xf numFmtId="3" fontId="14" fillId="0" borderId="8" xfId="0" applyNumberFormat="1" applyFont="1" applyBorder="1"/>
    <xf numFmtId="4" fontId="14" fillId="0" borderId="17" xfId="0" applyNumberFormat="1" applyFont="1" applyBorder="1"/>
    <xf numFmtId="0" fontId="14" fillId="0" borderId="11" xfId="0" applyFont="1" applyBorder="1"/>
    <xf numFmtId="3" fontId="14" fillId="0" borderId="51" xfId="0" applyNumberFormat="1" applyFont="1" applyBorder="1"/>
    <xf numFmtId="3" fontId="14" fillId="0" borderId="9" xfId="0" applyNumberFormat="1" applyFont="1" applyBorder="1"/>
    <xf numFmtId="4" fontId="14" fillId="0" borderId="37" xfId="0" applyNumberFormat="1" applyFont="1" applyBorder="1"/>
    <xf numFmtId="164" fontId="14" fillId="0" borderId="11" xfId="0" applyNumberFormat="1" applyFont="1" applyBorder="1" applyAlignment="1">
      <alignment horizontal="right"/>
    </xf>
    <xf numFmtId="0" fontId="14" fillId="0" borderId="26" xfId="0" applyFont="1" applyBorder="1"/>
    <xf numFmtId="3" fontId="14" fillId="0" borderId="53" xfId="0" applyNumberFormat="1" applyFont="1" applyFill="1" applyBorder="1" applyAlignment="1">
      <alignment horizontal="left" wrapText="1"/>
    </xf>
    <xf numFmtId="3" fontId="14" fillId="0" borderId="32" xfId="0" applyNumberFormat="1" applyFont="1" applyFill="1" applyBorder="1"/>
    <xf numFmtId="4" fontId="14" fillId="0" borderId="52" xfId="0" applyNumberFormat="1" applyFont="1" applyFill="1" applyBorder="1"/>
    <xf numFmtId="3" fontId="14" fillId="0" borderId="67" xfId="0" applyNumberFormat="1" applyFont="1" applyFill="1" applyBorder="1"/>
    <xf numFmtId="4" fontId="14" fillId="0" borderId="35" xfId="0" applyNumberFormat="1" applyFont="1" applyFill="1" applyBorder="1"/>
    <xf numFmtId="0" fontId="14" fillId="0" borderId="1" xfId="14" applyFont="1" applyBorder="1" applyAlignment="1">
      <alignment horizontal="centerContinuous" vertical="center"/>
    </xf>
    <xf numFmtId="3" fontId="14" fillId="0" borderId="54" xfId="14" applyNumberFormat="1" applyFont="1" applyFill="1" applyBorder="1" applyAlignment="1">
      <alignment vertical="center"/>
    </xf>
    <xf numFmtId="4" fontId="14" fillId="0" borderId="45" xfId="15" applyNumberFormat="1" applyFont="1" applyFill="1" applyBorder="1" applyAlignment="1">
      <alignment vertical="center"/>
    </xf>
    <xf numFmtId="3" fontId="14" fillId="0" borderId="1" xfId="14" applyNumberFormat="1" applyFont="1" applyFill="1" applyBorder="1" applyAlignment="1">
      <alignment vertical="center"/>
    </xf>
    <xf numFmtId="4" fontId="14" fillId="0" borderId="7" xfId="14" applyNumberFormat="1" applyFont="1" applyBorder="1" applyAlignment="1">
      <alignment horizontal="right" vertical="center"/>
    </xf>
    <xf numFmtId="4" fontId="14" fillId="0" borderId="21" xfId="14" applyNumberFormat="1" applyFont="1" applyBorder="1" applyAlignment="1">
      <alignment horizontal="right" vertical="center"/>
    </xf>
    <xf numFmtId="3" fontId="18" fillId="3" borderId="14" xfId="14" applyNumberFormat="1" applyFont="1" applyFill="1" applyBorder="1" applyAlignment="1">
      <alignment horizontal="right" vertical="center"/>
    </xf>
    <xf numFmtId="0" fontId="14" fillId="0" borderId="13" xfId="14" applyFont="1" applyBorder="1" applyAlignment="1">
      <alignment horizontal="centerContinuous" vertical="center"/>
    </xf>
    <xf numFmtId="3" fontId="14" fillId="0" borderId="2" xfId="14" applyNumberFormat="1" applyFont="1" applyFill="1" applyBorder="1" applyAlignment="1">
      <alignment vertical="center"/>
    </xf>
    <xf numFmtId="4" fontId="14" fillId="0" borderId="25" xfId="15" applyNumberFormat="1" applyFont="1" applyFill="1" applyBorder="1" applyAlignment="1">
      <alignment vertical="center"/>
    </xf>
    <xf numFmtId="4" fontId="14" fillId="0" borderId="8" xfId="14" applyNumberFormat="1" applyFont="1" applyBorder="1" applyAlignment="1">
      <alignment horizontal="right" vertical="center"/>
    </xf>
    <xf numFmtId="4" fontId="14" fillId="0" borderId="22" xfId="14" applyNumberFormat="1" applyFont="1" applyBorder="1" applyAlignment="1">
      <alignment horizontal="right" vertical="center"/>
    </xf>
    <xf numFmtId="3" fontId="14" fillId="0" borderId="2" xfId="14" applyNumberFormat="1" applyFont="1" applyBorder="1" applyAlignment="1">
      <alignment horizontal="right"/>
    </xf>
    <xf numFmtId="3" fontId="18" fillId="3" borderId="12" xfId="14" applyNumberFormat="1" applyFont="1" applyFill="1" applyBorder="1" applyAlignment="1">
      <alignment horizontal="right" vertical="center"/>
    </xf>
    <xf numFmtId="165" fontId="34" fillId="0" borderId="41" xfId="14" applyNumberFormat="1" applyFont="1" applyBorder="1" applyAlignment="1">
      <alignment horizontal="right" vertical="center" wrapText="1"/>
    </xf>
    <xf numFmtId="0" fontId="14" fillId="0" borderId="13" xfId="14" applyFont="1" applyBorder="1" applyAlignment="1">
      <alignment horizontal="center" vertical="center"/>
    </xf>
    <xf numFmtId="4" fontId="14" fillId="0" borderId="42" xfId="14" applyNumberFormat="1" applyFont="1" applyFill="1" applyBorder="1" applyAlignment="1">
      <alignment vertical="center"/>
    </xf>
    <xf numFmtId="3" fontId="14" fillId="0" borderId="13" xfId="14" applyNumberFormat="1" applyFont="1" applyFill="1" applyBorder="1" applyAlignment="1">
      <alignment vertical="center"/>
    </xf>
    <xf numFmtId="4" fontId="14" fillId="0" borderId="41" xfId="14" applyNumberFormat="1" applyFont="1" applyFill="1" applyBorder="1" applyAlignment="1">
      <alignment vertical="center"/>
    </xf>
    <xf numFmtId="3" fontId="30" fillId="3" borderId="12" xfId="14" applyNumberFormat="1" applyFont="1" applyFill="1" applyBorder="1" applyAlignment="1">
      <alignment horizontal="right" vertical="center"/>
    </xf>
    <xf numFmtId="3" fontId="14" fillId="0" borderId="3" xfId="14" applyNumberFormat="1" applyFont="1" applyFill="1" applyBorder="1" applyAlignment="1">
      <alignment vertical="center"/>
    </xf>
    <xf numFmtId="4" fontId="14" fillId="0" borderId="43" xfId="14" applyNumberFormat="1" applyFont="1" applyFill="1" applyBorder="1" applyAlignment="1">
      <alignment vertical="center"/>
    </xf>
    <xf numFmtId="4" fontId="14" fillId="0" borderId="9" xfId="14" applyNumberFormat="1" applyFont="1" applyBorder="1" applyAlignment="1">
      <alignment horizontal="right" vertical="center"/>
    </xf>
    <xf numFmtId="4" fontId="14" fillId="0" borderId="26" xfId="14" applyNumberFormat="1" applyFont="1" applyBorder="1" applyAlignment="1">
      <alignment horizontal="right" vertical="center"/>
    </xf>
    <xf numFmtId="3" fontId="14" fillId="0" borderId="3" xfId="14" applyNumberFormat="1" applyFont="1" applyBorder="1" applyAlignment="1">
      <alignment horizontal="right"/>
    </xf>
    <xf numFmtId="165" fontId="14" fillId="0" borderId="41" xfId="14" applyNumberFormat="1" applyFont="1" applyBorder="1" applyAlignment="1">
      <alignment horizontal="right" vertical="center" wrapText="1"/>
    </xf>
    <xf numFmtId="0" fontId="14" fillId="0" borderId="3" xfId="14" applyFont="1" applyBorder="1" applyAlignment="1">
      <alignment horizontal="center" vertical="center"/>
    </xf>
    <xf numFmtId="3" fontId="18" fillId="3" borderId="62" xfId="14" applyNumberFormat="1" applyFont="1" applyFill="1" applyBorder="1" applyAlignment="1">
      <alignment horizontal="right" vertical="center"/>
    </xf>
    <xf numFmtId="165" fontId="14" fillId="0" borderId="43" xfId="14" applyNumberFormat="1" applyFont="1" applyBorder="1" applyAlignment="1">
      <alignment horizontal="right" vertical="center" wrapText="1"/>
    </xf>
    <xf numFmtId="0" fontId="14" fillId="0" borderId="1" xfId="14" applyFont="1" applyBorder="1" applyAlignment="1">
      <alignment horizontal="center"/>
    </xf>
    <xf numFmtId="0" fontId="14" fillId="0" borderId="75" xfId="14" applyFont="1" applyBorder="1" applyAlignment="1">
      <alignment vertical="center"/>
    </xf>
    <xf numFmtId="0" fontId="14" fillId="0" borderId="69" xfId="14" applyFont="1" applyBorder="1" applyAlignment="1">
      <alignment vertical="center" wrapText="1"/>
    </xf>
    <xf numFmtId="3" fontId="14" fillId="0" borderId="1" xfId="14" applyNumberFormat="1" applyFont="1" applyBorder="1" applyAlignment="1">
      <alignment vertical="center"/>
    </xf>
    <xf numFmtId="4" fontId="14" fillId="0" borderId="21" xfId="14" applyNumberFormat="1" applyFont="1" applyBorder="1" applyAlignment="1">
      <alignment vertical="center"/>
    </xf>
    <xf numFmtId="4" fontId="14" fillId="0" borderId="45" xfId="14" applyNumberFormat="1" applyFont="1" applyFill="1" applyBorder="1" applyAlignment="1">
      <alignment horizontal="right" vertical="center"/>
    </xf>
    <xf numFmtId="3" fontId="14" fillId="0" borderId="1" xfId="14" applyNumberFormat="1" applyFont="1" applyBorder="1" applyAlignment="1">
      <alignment horizontal="right" vertical="center"/>
    </xf>
    <xf numFmtId="3" fontId="14" fillId="0" borderId="7" xfId="14" applyNumberFormat="1" applyFont="1" applyBorder="1" applyAlignment="1">
      <alignment horizontal="right" vertical="center"/>
    </xf>
    <xf numFmtId="3" fontId="14" fillId="0" borderId="21" xfId="14" applyNumberFormat="1" applyFont="1" applyBorder="1" applyAlignment="1">
      <alignment horizontal="right" vertical="center"/>
    </xf>
    <xf numFmtId="165" fontId="14" fillId="0" borderId="63" xfId="15" applyNumberFormat="1" applyFont="1" applyBorder="1" applyAlignment="1">
      <alignment horizontal="right" vertical="center"/>
    </xf>
    <xf numFmtId="165" fontId="14" fillId="0" borderId="45" xfId="15" applyNumberFormat="1" applyFont="1" applyBorder="1" applyAlignment="1">
      <alignment horizontal="right" vertical="center" wrapText="1"/>
    </xf>
    <xf numFmtId="0" fontId="14" fillId="0" borderId="37" xfId="14" applyFont="1" applyBorder="1" applyAlignment="1">
      <alignment vertical="center"/>
    </xf>
    <xf numFmtId="0" fontId="14" fillId="0" borderId="71" xfId="14" applyFont="1" applyBorder="1" applyAlignment="1">
      <alignment vertical="center" wrapText="1"/>
    </xf>
    <xf numFmtId="3" fontId="14" fillId="0" borderId="3" xfId="14" applyNumberFormat="1" applyFont="1" applyBorder="1" applyAlignment="1">
      <alignment vertical="center"/>
    </xf>
    <xf numFmtId="4" fontId="14" fillId="0" borderId="26" xfId="14" applyNumberFormat="1" applyFont="1" applyBorder="1" applyAlignment="1">
      <alignment vertical="center"/>
    </xf>
    <xf numFmtId="4" fontId="14" fillId="0" borderId="43" xfId="14" applyNumberFormat="1" applyFont="1" applyFill="1" applyBorder="1" applyAlignment="1">
      <alignment horizontal="right" vertical="center"/>
    </xf>
    <xf numFmtId="3" fontId="14" fillId="0" borderId="3" xfId="14" applyNumberFormat="1" applyFont="1" applyBorder="1" applyAlignment="1">
      <alignment horizontal="right" vertical="center"/>
    </xf>
    <xf numFmtId="3" fontId="14" fillId="0" borderId="9" xfId="14" applyNumberFormat="1" applyFont="1" applyBorder="1" applyAlignment="1">
      <alignment horizontal="right" vertical="center"/>
    </xf>
    <xf numFmtId="3" fontId="14" fillId="0" borderId="26" xfId="14" applyNumberFormat="1" applyFont="1" applyBorder="1" applyAlignment="1">
      <alignment horizontal="right" vertical="center"/>
    </xf>
    <xf numFmtId="165" fontId="14" fillId="0" borderId="50" xfId="15" applyNumberFormat="1" applyFont="1" applyBorder="1" applyAlignment="1">
      <alignment horizontal="right" vertical="center"/>
    </xf>
    <xf numFmtId="3" fontId="14" fillId="0" borderId="32" xfId="14" applyNumberFormat="1" applyFont="1" applyBorder="1" applyAlignment="1">
      <alignment horizontal="right"/>
    </xf>
    <xf numFmtId="3" fontId="14" fillId="0" borderId="35" xfId="14" applyNumberFormat="1" applyFont="1" applyBorder="1" applyAlignment="1">
      <alignment horizontal="right"/>
    </xf>
    <xf numFmtId="3" fontId="14" fillId="0" borderId="76" xfId="14" applyNumberFormat="1" applyFont="1" applyBorder="1" applyAlignment="1">
      <alignment horizontal="right"/>
    </xf>
    <xf numFmtId="3" fontId="18" fillId="3" borderId="14" xfId="14" applyNumberFormat="1" applyFont="1" applyFill="1" applyBorder="1" applyAlignment="1">
      <alignment horizontal="right"/>
    </xf>
    <xf numFmtId="165" fontId="14" fillId="0" borderId="63" xfId="15" applyNumberFormat="1" applyFont="1" applyBorder="1" applyAlignment="1">
      <alignment horizontal="right"/>
    </xf>
    <xf numFmtId="165" fontId="14" fillId="0" borderId="45" xfId="14" applyNumberFormat="1" applyFont="1" applyBorder="1" applyAlignment="1">
      <alignment horizontal="right" wrapText="1"/>
    </xf>
    <xf numFmtId="3" fontId="18" fillId="3" borderId="12" xfId="14" applyNumberFormat="1" applyFont="1" applyFill="1" applyBorder="1" applyAlignment="1">
      <alignment horizontal="right"/>
    </xf>
    <xf numFmtId="0" fontId="14" fillId="0" borderId="2" xfId="14" applyFont="1" applyBorder="1" applyAlignment="1">
      <alignment horizontal="center" vertical="center"/>
    </xf>
    <xf numFmtId="3" fontId="14" fillId="0" borderId="2" xfId="14" applyNumberFormat="1" applyFont="1" applyBorder="1" applyAlignment="1"/>
    <xf numFmtId="4" fontId="14" fillId="0" borderId="22" xfId="14" applyNumberFormat="1" applyFont="1" applyBorder="1" applyAlignment="1"/>
    <xf numFmtId="4" fontId="14" fillId="0" borderId="8" xfId="14" applyNumberFormat="1" applyFont="1" applyBorder="1" applyAlignment="1">
      <alignment horizontal="right"/>
    </xf>
    <xf numFmtId="4" fontId="14" fillId="0" borderId="41" xfId="14" applyNumberFormat="1" applyFont="1" applyBorder="1" applyAlignment="1">
      <alignment horizontal="right"/>
    </xf>
    <xf numFmtId="3" fontId="14" fillId="0" borderId="70" xfId="14" applyNumberFormat="1" applyFont="1" applyBorder="1" applyAlignment="1">
      <alignment horizontal="right"/>
    </xf>
    <xf numFmtId="3" fontId="14" fillId="0" borderId="41" xfId="14" applyNumberFormat="1" applyFont="1" applyBorder="1" applyAlignment="1">
      <alignment horizontal="right"/>
    </xf>
    <xf numFmtId="165" fontId="14" fillId="0" borderId="51" xfId="15" applyNumberFormat="1" applyFont="1" applyBorder="1" applyAlignment="1">
      <alignment horizontal="right"/>
    </xf>
    <xf numFmtId="165" fontId="14" fillId="0" borderId="43" xfId="14" applyNumberFormat="1" applyFont="1" applyBorder="1" applyAlignment="1">
      <alignment horizontal="right" wrapText="1"/>
    </xf>
    <xf numFmtId="3" fontId="14" fillId="0" borderId="3" xfId="14" applyNumberFormat="1" applyFont="1" applyBorder="1" applyAlignment="1"/>
    <xf numFmtId="4" fontId="14" fillId="0" borderId="26" xfId="14" applyNumberFormat="1" applyFont="1" applyBorder="1" applyAlignment="1"/>
    <xf numFmtId="4" fontId="14" fillId="0" borderId="9" xfId="14" applyNumberFormat="1" applyFont="1" applyBorder="1" applyAlignment="1">
      <alignment horizontal="right"/>
    </xf>
    <xf numFmtId="4" fontId="14" fillId="0" borderId="43" xfId="14" applyNumberFormat="1" applyFont="1" applyBorder="1" applyAlignment="1">
      <alignment horizontal="right"/>
    </xf>
    <xf numFmtId="3" fontId="14" fillId="0" borderId="71" xfId="14" applyNumberFormat="1" applyFont="1" applyBorder="1" applyAlignment="1">
      <alignment horizontal="right"/>
    </xf>
    <xf numFmtId="3" fontId="14" fillId="0" borderId="43" xfId="14" applyNumberFormat="1" applyFont="1" applyBorder="1" applyAlignment="1">
      <alignment horizontal="right"/>
    </xf>
    <xf numFmtId="0" fontId="14" fillId="0" borderId="19" xfId="14" applyFont="1" applyBorder="1" applyAlignment="1">
      <alignment horizontal="center" vertical="center"/>
    </xf>
    <xf numFmtId="3" fontId="14" fillId="0" borderId="19" xfId="14" applyNumberFormat="1" applyFont="1" applyBorder="1" applyAlignment="1"/>
    <xf numFmtId="4" fontId="14" fillId="0" borderId="23" xfId="14" applyNumberFormat="1" applyFont="1" applyBorder="1" applyAlignment="1"/>
    <xf numFmtId="4" fontId="14" fillId="0" borderId="20" xfId="14" applyNumberFormat="1" applyFont="1" applyBorder="1" applyAlignment="1">
      <alignment horizontal="right"/>
    </xf>
    <xf numFmtId="4" fontId="14" fillId="0" borderId="46" xfId="14" applyNumberFormat="1" applyFont="1" applyBorder="1" applyAlignment="1">
      <alignment horizontal="right"/>
    </xf>
    <xf numFmtId="3" fontId="14" fillId="0" borderId="19" xfId="14" applyNumberFormat="1" applyFont="1" applyBorder="1" applyAlignment="1">
      <alignment horizontal="right"/>
    </xf>
    <xf numFmtId="3" fontId="14" fillId="0" borderId="79" xfId="14" applyNumberFormat="1" applyFont="1" applyBorder="1" applyAlignment="1">
      <alignment horizontal="right"/>
    </xf>
    <xf numFmtId="3" fontId="14" fillId="0" borderId="46" xfId="14" applyNumberFormat="1" applyFont="1" applyBorder="1" applyAlignment="1">
      <alignment horizontal="right"/>
    </xf>
    <xf numFmtId="3" fontId="18" fillId="3" borderId="62" xfId="14" applyNumberFormat="1" applyFont="1" applyFill="1" applyBorder="1" applyAlignment="1">
      <alignment horizontal="right"/>
    </xf>
    <xf numFmtId="3" fontId="25" fillId="3" borderId="12" xfId="14" applyNumberFormat="1" applyFont="1" applyFill="1" applyBorder="1" applyAlignment="1">
      <alignment horizontal="right"/>
    </xf>
    <xf numFmtId="3" fontId="18" fillId="3" borderId="61" xfId="15" applyNumberFormat="1" applyFont="1" applyFill="1" applyBorder="1" applyAlignment="1">
      <alignment horizontal="center" vertical="center" wrapText="1"/>
    </xf>
    <xf numFmtId="49" fontId="14" fillId="0" borderId="2" xfId="18" applyNumberFormat="1" applyFont="1" applyBorder="1" applyAlignment="1">
      <alignment horizontal="center" vertical="center" wrapText="1" shrinkToFit="1"/>
    </xf>
    <xf numFmtId="3" fontId="14" fillId="0" borderId="2" xfId="14" applyNumberFormat="1" applyFont="1" applyBorder="1" applyAlignment="1">
      <alignment vertical="center"/>
    </xf>
    <xf numFmtId="4" fontId="14" fillId="0" borderId="41" xfId="14" applyNumberFormat="1" applyFont="1" applyBorder="1" applyAlignment="1">
      <alignment vertical="center"/>
    </xf>
    <xf numFmtId="4" fontId="14" fillId="5" borderId="8" xfId="14" applyNumberFormat="1" applyFont="1" applyFill="1" applyBorder="1" applyAlignment="1">
      <alignment horizontal="right" vertical="center"/>
    </xf>
    <xf numFmtId="4" fontId="14" fillId="5" borderId="41" xfId="14" applyNumberFormat="1" applyFont="1" applyFill="1" applyBorder="1" applyAlignment="1">
      <alignment horizontal="right" vertical="center"/>
    </xf>
    <xf numFmtId="3" fontId="14" fillId="0" borderId="50" xfId="14" applyNumberFormat="1" applyFont="1" applyBorder="1" applyAlignment="1">
      <alignment horizontal="right" vertical="center"/>
    </xf>
    <xf numFmtId="3" fontId="14" fillId="0" borderId="41" xfId="14" applyNumberFormat="1" applyFont="1" applyBorder="1" applyAlignment="1">
      <alignment horizontal="right" vertical="center"/>
    </xf>
    <xf numFmtId="3" fontId="18" fillId="3" borderId="22" xfId="14" applyNumberFormat="1" applyFont="1" applyFill="1" applyBorder="1" applyAlignment="1">
      <alignment horizontal="right" vertical="center"/>
    </xf>
    <xf numFmtId="165" fontId="14" fillId="0" borderId="12" xfId="15" applyNumberFormat="1" applyFont="1" applyBorder="1" applyAlignment="1">
      <alignment horizontal="right" vertical="center"/>
    </xf>
    <xf numFmtId="165" fontId="14" fillId="0" borderId="22" xfId="14" applyNumberFormat="1" applyFont="1" applyBorder="1" applyAlignment="1">
      <alignment horizontal="right" vertical="center" wrapText="1"/>
    </xf>
    <xf numFmtId="49" fontId="14" fillId="0" borderId="2" xfId="18" applyNumberFormat="1" applyFont="1" applyFill="1" applyBorder="1" applyAlignment="1">
      <alignment horizontal="center" vertical="center" wrapText="1" shrinkToFit="1"/>
    </xf>
    <xf numFmtId="3" fontId="14" fillId="5" borderId="50" xfId="14" applyNumberFormat="1" applyFont="1" applyFill="1" applyBorder="1" applyAlignment="1">
      <alignment horizontal="right" vertical="center"/>
    </xf>
    <xf numFmtId="3" fontId="18" fillId="0" borderId="13" xfId="14" applyNumberFormat="1" applyFont="1" applyBorder="1" applyAlignment="1">
      <alignment vertical="center"/>
    </xf>
    <xf numFmtId="4" fontId="18" fillId="0" borderId="25" xfId="14" applyNumberFormat="1" applyFont="1" applyBorder="1" applyAlignment="1">
      <alignment vertical="center"/>
    </xf>
    <xf numFmtId="4" fontId="18" fillId="5" borderId="15" xfId="14" applyNumberFormat="1" applyFont="1" applyFill="1" applyBorder="1" applyAlignment="1">
      <alignment horizontal="right" vertical="center"/>
    </xf>
    <xf numFmtId="4" fontId="18" fillId="5" borderId="25" xfId="14" applyNumberFormat="1" applyFont="1" applyFill="1" applyBorder="1" applyAlignment="1">
      <alignment horizontal="right" vertical="center"/>
    </xf>
    <xf numFmtId="3" fontId="18" fillId="0" borderId="49" xfId="14" applyNumberFormat="1" applyFont="1" applyBorder="1" applyAlignment="1">
      <alignment horizontal="right" vertical="center"/>
    </xf>
    <xf numFmtId="3" fontId="14" fillId="0" borderId="15" xfId="14" applyNumberFormat="1" applyFont="1" applyBorder="1" applyAlignment="1">
      <alignment horizontal="right" vertical="center"/>
    </xf>
    <xf numFmtId="3" fontId="14" fillId="0" borderId="42" xfId="14" applyNumberFormat="1" applyFont="1" applyBorder="1" applyAlignment="1">
      <alignment horizontal="right" vertical="center"/>
    </xf>
    <xf numFmtId="3" fontId="18" fillId="3" borderId="18" xfId="14" applyNumberFormat="1" applyFont="1" applyFill="1" applyBorder="1" applyAlignment="1">
      <alignment horizontal="right" vertical="center"/>
    </xf>
    <xf numFmtId="165" fontId="18" fillId="0" borderId="18" xfId="15" applyNumberFormat="1" applyFont="1" applyBorder="1" applyAlignment="1">
      <alignment horizontal="right" vertical="center"/>
    </xf>
    <xf numFmtId="165" fontId="18" fillId="0" borderId="25" xfId="14" applyNumberFormat="1" applyFont="1" applyBorder="1" applyAlignment="1">
      <alignment horizontal="right" vertical="center" wrapText="1"/>
    </xf>
    <xf numFmtId="3" fontId="14" fillId="0" borderId="13" xfId="14" applyNumberFormat="1" applyFont="1" applyBorder="1" applyAlignment="1">
      <alignment vertical="center"/>
    </xf>
    <xf numFmtId="4" fontId="14" fillId="0" borderId="25" xfId="14" applyNumberFormat="1" applyFont="1" applyBorder="1" applyAlignment="1">
      <alignment vertical="center"/>
    </xf>
    <xf numFmtId="4" fontId="14" fillId="5" borderId="15" xfId="14" applyNumberFormat="1" applyFont="1" applyFill="1" applyBorder="1" applyAlignment="1">
      <alignment horizontal="right" vertical="center"/>
    </xf>
    <xf numFmtId="4" fontId="14" fillId="5" borderId="25" xfId="14" applyNumberFormat="1" applyFont="1" applyFill="1" applyBorder="1" applyAlignment="1">
      <alignment horizontal="right" vertical="center"/>
    </xf>
    <xf numFmtId="3" fontId="14" fillId="0" borderId="49" xfId="14" applyNumberFormat="1" applyFont="1" applyBorder="1" applyAlignment="1">
      <alignment horizontal="right" vertical="center"/>
    </xf>
    <xf numFmtId="3" fontId="14" fillId="0" borderId="77" xfId="14" applyNumberFormat="1" applyFont="1" applyBorder="1" applyAlignment="1">
      <alignment horizontal="right" vertical="center"/>
    </xf>
    <xf numFmtId="49" fontId="14" fillId="0" borderId="19" xfId="18" applyNumberFormat="1" applyFont="1" applyFill="1" applyBorder="1" applyAlignment="1">
      <alignment horizontal="center" vertical="center" wrapText="1" shrinkToFit="1"/>
    </xf>
    <xf numFmtId="3" fontId="14" fillId="0" borderId="4" xfId="14" applyNumberFormat="1" applyFont="1" applyBorder="1" applyAlignment="1">
      <alignment vertical="center"/>
    </xf>
    <xf numFmtId="4" fontId="14" fillId="0" borderId="27" xfId="14" applyNumberFormat="1" applyFont="1" applyBorder="1" applyAlignment="1">
      <alignment vertical="center"/>
    </xf>
    <xf numFmtId="4" fontId="14" fillId="5" borderId="29" xfId="14" applyNumberFormat="1" applyFont="1" applyFill="1" applyBorder="1" applyAlignment="1">
      <alignment horizontal="right" vertical="center"/>
    </xf>
    <xf numFmtId="4" fontId="14" fillId="5" borderId="27" xfId="14" applyNumberFormat="1" applyFont="1" applyFill="1" applyBorder="1" applyAlignment="1">
      <alignment horizontal="right" vertical="center"/>
    </xf>
    <xf numFmtId="3" fontId="14" fillId="0" borderId="72" xfId="14" applyNumberFormat="1" applyFont="1" applyBorder="1" applyAlignment="1">
      <alignment horizontal="right" vertical="center"/>
    </xf>
    <xf numFmtId="3" fontId="14" fillId="0" borderId="20" xfId="14" applyNumberFormat="1" applyFont="1" applyBorder="1" applyAlignment="1">
      <alignment horizontal="right" vertical="center"/>
    </xf>
    <xf numFmtId="3" fontId="14" fillId="0" borderId="46" xfId="14" applyNumberFormat="1" applyFont="1" applyBorder="1" applyAlignment="1">
      <alignment horizontal="right" vertical="center"/>
    </xf>
    <xf numFmtId="3" fontId="18" fillId="3" borderId="28" xfId="14" applyNumberFormat="1" applyFont="1" applyFill="1" applyBorder="1" applyAlignment="1">
      <alignment horizontal="right" vertical="center"/>
    </xf>
    <xf numFmtId="165" fontId="14" fillId="0" borderId="28" xfId="15" applyNumberFormat="1" applyFont="1" applyBorder="1" applyAlignment="1">
      <alignment horizontal="right" vertical="center"/>
    </xf>
    <xf numFmtId="165" fontId="14" fillId="0" borderId="27" xfId="14" applyNumberFormat="1" applyFont="1" applyBorder="1" applyAlignment="1">
      <alignment horizontal="right" vertical="center" wrapText="1"/>
    </xf>
    <xf numFmtId="4" fontId="14" fillId="0" borderId="45" xfId="14" applyNumberFormat="1" applyFont="1" applyBorder="1" applyAlignment="1">
      <alignment vertical="center"/>
    </xf>
    <xf numFmtId="3" fontId="14" fillId="0" borderId="63" xfId="14" applyNumberFormat="1" applyFont="1" applyBorder="1" applyAlignment="1">
      <alignment horizontal="right" vertical="center"/>
    </xf>
    <xf numFmtId="49" fontId="14" fillId="0" borderId="2" xfId="14" applyNumberFormat="1" applyFont="1" applyFill="1" applyBorder="1" applyAlignment="1">
      <alignment horizontal="center" vertical="center" wrapText="1" shrinkToFit="1"/>
    </xf>
    <xf numFmtId="3" fontId="14" fillId="0" borderId="8" xfId="14" applyNumberFormat="1" applyFont="1" applyBorder="1" applyAlignment="1">
      <alignment horizontal="right" vertical="center"/>
    </xf>
    <xf numFmtId="4" fontId="14" fillId="0" borderId="22" xfId="14" applyNumberFormat="1" applyFont="1" applyBorder="1" applyAlignment="1">
      <alignment vertical="center"/>
    </xf>
    <xf numFmtId="4" fontId="14" fillId="5" borderId="50" xfId="14" applyNumberFormat="1" applyFont="1" applyFill="1" applyBorder="1" applyAlignment="1">
      <alignment horizontal="right" vertical="center"/>
    </xf>
    <xf numFmtId="3" fontId="14" fillId="0" borderId="31" xfId="14" applyNumberFormat="1" applyFont="1" applyBorder="1" applyAlignment="1">
      <alignment vertical="center"/>
    </xf>
    <xf numFmtId="4" fontId="14" fillId="0" borderId="34" xfId="14" applyNumberFormat="1" applyFont="1" applyBorder="1" applyAlignment="1">
      <alignment vertical="center"/>
    </xf>
    <xf numFmtId="4" fontId="14" fillId="5" borderId="64" xfId="14" applyNumberFormat="1" applyFont="1" applyFill="1" applyBorder="1" applyAlignment="1">
      <alignment horizontal="right" vertical="center"/>
    </xf>
    <xf numFmtId="3" fontId="14" fillId="0" borderId="64" xfId="14" applyNumberFormat="1" applyFont="1" applyBorder="1" applyAlignment="1">
      <alignment horizontal="right" vertical="center"/>
    </xf>
    <xf numFmtId="0" fontId="14" fillId="0" borderId="1" xfId="14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3" fontId="14" fillId="0" borderId="2" xfId="20" applyNumberFormat="1" applyFont="1" applyFill="1" applyBorder="1" applyAlignment="1">
      <alignment horizontal="right" vertical="center"/>
    </xf>
    <xf numFmtId="3" fontId="14" fillId="0" borderId="50" xfId="14" applyNumberFormat="1" applyFont="1" applyBorder="1" applyAlignment="1">
      <alignment vertical="center"/>
    </xf>
    <xf numFmtId="4" fontId="14" fillId="0" borderId="17" xfId="14" applyNumberFormat="1" applyFont="1" applyBorder="1" applyAlignment="1">
      <alignment horizontal="right" vertical="center"/>
    </xf>
    <xf numFmtId="3" fontId="14" fillId="0" borderId="2" xfId="14" applyNumberFormat="1" applyFont="1" applyBorder="1" applyAlignment="1">
      <alignment horizontal="right" vertical="center"/>
    </xf>
    <xf numFmtId="3" fontId="14" fillId="0" borderId="50" xfId="14" applyNumberFormat="1" applyFont="1" applyFill="1" applyBorder="1" applyAlignment="1">
      <alignment vertical="center"/>
    </xf>
    <xf numFmtId="4" fontId="14" fillId="0" borderId="8" xfId="14" applyNumberFormat="1" applyFont="1" applyFill="1" applyBorder="1" applyAlignment="1">
      <alignment horizontal="right" vertical="center"/>
    </xf>
    <xf numFmtId="4" fontId="14" fillId="0" borderId="41" xfId="14" applyNumberFormat="1" applyFont="1" applyFill="1" applyBorder="1" applyAlignment="1">
      <alignment horizontal="right" vertical="center"/>
    </xf>
    <xf numFmtId="3" fontId="14" fillId="0" borderId="50" xfId="14" applyNumberFormat="1" applyFont="1" applyFill="1" applyBorder="1" applyAlignment="1">
      <alignment horizontal="right" vertical="center"/>
    </xf>
    <xf numFmtId="3" fontId="14" fillId="0" borderId="8" xfId="14" applyNumberFormat="1" applyFont="1" applyFill="1" applyBorder="1" applyAlignment="1">
      <alignment horizontal="right" vertical="center"/>
    </xf>
    <xf numFmtId="3" fontId="14" fillId="0" borderId="41" xfId="14" applyNumberFormat="1" applyFont="1" applyFill="1" applyBorder="1" applyAlignment="1">
      <alignment horizontal="right" vertical="center"/>
    </xf>
    <xf numFmtId="4" fontId="14" fillId="0" borderId="41" xfId="14" applyNumberFormat="1" applyFont="1" applyBorder="1" applyAlignment="1">
      <alignment horizontal="right" vertical="center"/>
    </xf>
    <xf numFmtId="165" fontId="14" fillId="0" borderId="2" xfId="15" applyNumberFormat="1" applyFont="1" applyBorder="1" applyAlignment="1">
      <alignment horizontal="right" vertical="center"/>
    </xf>
    <xf numFmtId="4" fontId="14" fillId="0" borderId="17" xfId="14" applyNumberFormat="1" applyFont="1" applyFill="1" applyBorder="1" applyAlignment="1">
      <alignment horizontal="right" vertical="center"/>
    </xf>
    <xf numFmtId="0" fontId="14" fillId="0" borderId="1" xfId="14" applyFont="1" applyBorder="1" applyAlignment="1">
      <alignment horizontal="center" vertical="center"/>
    </xf>
    <xf numFmtId="0" fontId="14" fillId="0" borderId="2" xfId="19" applyFont="1" applyBorder="1" applyAlignment="1">
      <alignment horizontal="center" vertical="center"/>
    </xf>
    <xf numFmtId="3" fontId="14" fillId="0" borderId="63" xfId="14" applyNumberFormat="1" applyFont="1" applyBorder="1" applyAlignment="1">
      <alignment vertical="center"/>
    </xf>
    <xf numFmtId="4" fontId="14" fillId="0" borderId="69" xfId="14" applyNumberFormat="1" applyFont="1" applyBorder="1" applyAlignment="1">
      <alignment horizontal="right" vertical="center"/>
    </xf>
    <xf numFmtId="3" fontId="14" fillId="0" borderId="69" xfId="14" applyNumberFormat="1" applyFont="1" applyBorder="1" applyAlignment="1">
      <alignment horizontal="right" vertical="center"/>
    </xf>
    <xf numFmtId="4" fontId="14" fillId="0" borderId="50" xfId="14" applyNumberFormat="1" applyFont="1" applyBorder="1" applyAlignment="1">
      <alignment horizontal="right" vertical="center"/>
    </xf>
    <xf numFmtId="4" fontId="14" fillId="0" borderId="70" xfId="14" applyNumberFormat="1" applyFont="1" applyBorder="1" applyAlignment="1">
      <alignment horizontal="right" vertical="center"/>
    </xf>
    <xf numFmtId="3" fontId="14" fillId="0" borderId="70" xfId="14" applyNumberFormat="1" applyFont="1" applyBorder="1" applyAlignment="1">
      <alignment horizontal="right" vertical="center"/>
    </xf>
    <xf numFmtId="3" fontId="14" fillId="0" borderId="49" xfId="14" applyNumberFormat="1" applyFont="1" applyBorder="1" applyAlignment="1">
      <alignment vertical="center"/>
    </xf>
    <xf numFmtId="3" fontId="14" fillId="0" borderId="13" xfId="14" applyNumberFormat="1" applyFont="1" applyBorder="1" applyAlignment="1">
      <alignment horizontal="right" vertical="center"/>
    </xf>
    <xf numFmtId="4" fontId="14" fillId="0" borderId="70" xfId="14" applyNumberFormat="1" applyFont="1" applyFill="1" applyBorder="1" applyAlignment="1">
      <alignment horizontal="right" vertical="center"/>
    </xf>
    <xf numFmtId="0" fontId="14" fillId="0" borderId="1" xfId="19" applyFont="1" applyBorder="1" applyAlignment="1">
      <alignment horizontal="center" vertical="center"/>
    </xf>
    <xf numFmtId="4" fontId="14" fillId="0" borderId="7" xfId="14" applyNumberFormat="1" applyFont="1" applyFill="1" applyBorder="1" applyAlignment="1">
      <alignment horizontal="right" vertical="center"/>
    </xf>
    <xf numFmtId="4" fontId="14" fillId="0" borderId="69" xfId="14" applyNumberFormat="1" applyFont="1" applyFill="1" applyBorder="1" applyAlignment="1">
      <alignment horizontal="right" vertical="center"/>
    </xf>
    <xf numFmtId="165" fontId="14" fillId="0" borderId="45" xfId="14" applyNumberFormat="1" applyFont="1" applyBorder="1" applyAlignment="1">
      <alignment horizontal="right" vertical="center" wrapText="1"/>
    </xf>
    <xf numFmtId="165" fontId="14" fillId="0" borderId="41" xfId="15" applyNumberFormat="1" applyFont="1" applyBorder="1" applyAlignment="1">
      <alignment horizontal="right" vertical="center" wrapText="1"/>
    </xf>
    <xf numFmtId="3" fontId="14" fillId="0" borderId="51" xfId="14" applyNumberFormat="1" applyFont="1" applyBorder="1" applyAlignment="1">
      <alignment vertical="center"/>
    </xf>
    <xf numFmtId="4" fontId="14" fillId="0" borderId="9" xfId="14" applyNumberFormat="1" applyFont="1" applyFill="1" applyBorder="1" applyAlignment="1">
      <alignment horizontal="right" vertical="center"/>
    </xf>
    <xf numFmtId="4" fontId="14" fillId="0" borderId="71" xfId="14" applyNumberFormat="1" applyFont="1" applyFill="1" applyBorder="1" applyAlignment="1">
      <alignment horizontal="right" vertical="center"/>
    </xf>
    <xf numFmtId="3" fontId="14" fillId="0" borderId="71" xfId="14" applyNumberFormat="1" applyFont="1" applyBorder="1" applyAlignment="1">
      <alignment horizontal="right" vertical="center"/>
    </xf>
    <xf numFmtId="165" fontId="14" fillId="0" borderId="51" xfId="15" applyNumberFormat="1" applyFont="1" applyBorder="1" applyAlignment="1">
      <alignment horizontal="right" vertical="center"/>
    </xf>
    <xf numFmtId="4" fontId="14" fillId="0" borderId="71" xfId="14" applyNumberFormat="1" applyFont="1" applyBorder="1" applyAlignment="1">
      <alignment horizontal="right" vertical="center"/>
    </xf>
    <xf numFmtId="0" fontId="14" fillId="0" borderId="45" xfId="14" applyFont="1" applyBorder="1" applyAlignment="1">
      <alignment vertical="center" wrapText="1"/>
    </xf>
    <xf numFmtId="0" fontId="14" fillId="0" borderId="41" xfId="14" applyFont="1" applyBorder="1" applyAlignment="1">
      <alignment vertical="center" wrapText="1"/>
    </xf>
    <xf numFmtId="0" fontId="14" fillId="0" borderId="43" xfId="14" applyFont="1" applyBorder="1" applyAlignment="1">
      <alignment vertical="center" wrapText="1"/>
    </xf>
    <xf numFmtId="3" fontId="18" fillId="0" borderId="1" xfId="14" applyNumberFormat="1" applyFont="1" applyBorder="1" applyAlignment="1">
      <alignment vertical="center"/>
    </xf>
    <xf numFmtId="4" fontId="18" fillId="0" borderId="45" xfId="14" applyNumberFormat="1" applyFont="1" applyBorder="1" applyAlignment="1">
      <alignment vertical="center"/>
    </xf>
    <xf numFmtId="4" fontId="18" fillId="5" borderId="7" xfId="14" applyNumberFormat="1" applyFont="1" applyFill="1" applyBorder="1" applyAlignment="1">
      <alignment horizontal="right" vertical="center"/>
    </xf>
    <xf numFmtId="4" fontId="18" fillId="5" borderId="45" xfId="14" applyNumberFormat="1" applyFont="1" applyFill="1" applyBorder="1" applyAlignment="1">
      <alignment horizontal="right" vertical="center"/>
    </xf>
    <xf numFmtId="3" fontId="18" fillId="5" borderId="63" xfId="14" applyNumberFormat="1" applyFont="1" applyFill="1" applyBorder="1" applyAlignment="1">
      <alignment horizontal="right" vertical="center"/>
    </xf>
    <xf numFmtId="3" fontId="18" fillId="0" borderId="63" xfId="14" applyNumberFormat="1" applyFont="1" applyBorder="1" applyAlignment="1">
      <alignment horizontal="right" vertical="center"/>
    </xf>
    <xf numFmtId="3" fontId="18" fillId="0" borderId="45" xfId="14" applyNumberFormat="1" applyFont="1" applyBorder="1" applyAlignment="1">
      <alignment horizontal="right" vertical="center"/>
    </xf>
    <xf numFmtId="3" fontId="18" fillId="3" borderId="21" xfId="14" applyNumberFormat="1" applyFont="1" applyFill="1" applyBorder="1" applyAlignment="1">
      <alignment horizontal="right" vertical="center"/>
    </xf>
    <xf numFmtId="165" fontId="18" fillId="0" borderId="14" xfId="15" applyNumberFormat="1" applyFont="1" applyBorder="1" applyAlignment="1">
      <alignment horizontal="right" vertical="center"/>
    </xf>
    <xf numFmtId="165" fontId="18" fillId="0" borderId="21" xfId="14" applyNumberFormat="1" applyFont="1" applyBorder="1" applyAlignment="1">
      <alignment horizontal="right" vertical="center" wrapText="1"/>
    </xf>
    <xf numFmtId="3" fontId="14" fillId="0" borderId="1" xfId="20" applyNumberFormat="1" applyFont="1" applyFill="1" applyBorder="1" applyAlignment="1">
      <alignment horizontal="right" vertical="center"/>
    </xf>
    <xf numFmtId="4" fontId="14" fillId="0" borderId="45" xfId="14" applyNumberFormat="1" applyFont="1" applyFill="1" applyBorder="1" applyAlignment="1">
      <alignment vertical="center"/>
    </xf>
    <xf numFmtId="3" fontId="14" fillId="0" borderId="63" xfId="14" applyNumberFormat="1" applyFont="1" applyFill="1" applyBorder="1" applyAlignment="1">
      <alignment vertical="center"/>
    </xf>
    <xf numFmtId="4" fontId="14" fillId="0" borderId="75" xfId="14" applyNumberFormat="1" applyFont="1" applyFill="1" applyBorder="1" applyAlignment="1">
      <alignment horizontal="right" vertical="center"/>
    </xf>
    <xf numFmtId="3" fontId="14" fillId="0" borderId="1" xfId="14" applyNumberFormat="1" applyFont="1" applyFill="1" applyBorder="1" applyAlignment="1">
      <alignment horizontal="right" vertical="center"/>
    </xf>
    <xf numFmtId="3" fontId="14" fillId="0" borderId="7" xfId="14" applyNumberFormat="1" applyFont="1" applyFill="1" applyBorder="1" applyAlignment="1">
      <alignment horizontal="right" vertical="center"/>
    </xf>
    <xf numFmtId="3" fontId="14" fillId="0" borderId="45" xfId="14" applyNumberFormat="1" applyFont="1" applyFill="1" applyBorder="1" applyAlignment="1">
      <alignment horizontal="right" vertical="center"/>
    </xf>
    <xf numFmtId="3" fontId="14" fillId="0" borderId="2" xfId="14" applyNumberFormat="1" applyFont="1" applyFill="1" applyBorder="1" applyAlignment="1">
      <alignment horizontal="right" vertical="center"/>
    </xf>
    <xf numFmtId="0" fontId="14" fillId="0" borderId="0" xfId="14" applyFont="1" applyAlignment="1">
      <alignment horizontal="left"/>
    </xf>
    <xf numFmtId="0" fontId="14" fillId="0" borderId="0" xfId="14" applyFont="1" applyAlignment="1"/>
    <xf numFmtId="0" fontId="14" fillId="0" borderId="0" xfId="14" applyFont="1" applyBorder="1" applyAlignment="1">
      <alignment vertical="center"/>
    </xf>
    <xf numFmtId="0" fontId="14" fillId="0" borderId="53" xfId="14" applyFont="1" applyBorder="1" applyAlignment="1">
      <alignment horizontal="center" vertical="center"/>
    </xf>
    <xf numFmtId="3" fontId="14" fillId="0" borderId="32" xfId="14" applyNumberFormat="1" applyFont="1" applyBorder="1" applyAlignment="1">
      <alignment vertical="center"/>
    </xf>
    <xf numFmtId="4" fontId="14" fillId="0" borderId="39" xfId="14" applyNumberFormat="1" applyFont="1" applyBorder="1" applyAlignment="1">
      <alignment vertical="center"/>
    </xf>
    <xf numFmtId="3" fontId="14" fillId="0" borderId="67" xfId="14" applyNumberFormat="1" applyFont="1" applyBorder="1" applyAlignment="1">
      <alignment vertical="center"/>
    </xf>
    <xf numFmtId="4" fontId="14" fillId="0" borderId="35" xfId="14" applyNumberFormat="1" applyFont="1" applyBorder="1" applyAlignment="1">
      <alignment horizontal="right" vertical="center"/>
    </xf>
    <xf numFmtId="4" fontId="14" fillId="0" borderId="76" xfId="14" applyNumberFormat="1" applyFont="1" applyBorder="1" applyAlignment="1">
      <alignment horizontal="right" vertical="center"/>
    </xf>
    <xf numFmtId="3" fontId="14" fillId="0" borderId="35" xfId="14" applyNumberFormat="1" applyFont="1" applyBorder="1" applyAlignment="1">
      <alignment horizontal="right" vertical="center"/>
    </xf>
    <xf numFmtId="3" fontId="14" fillId="0" borderId="76" xfId="14" applyNumberFormat="1" applyFont="1" applyBorder="1" applyAlignment="1">
      <alignment horizontal="right" vertical="center"/>
    </xf>
    <xf numFmtId="0" fontId="14" fillId="0" borderId="59" xfId="14" applyFont="1" applyBorder="1" applyAlignment="1">
      <alignment horizontal="center" vertical="center"/>
    </xf>
    <xf numFmtId="0" fontId="14" fillId="0" borderId="41" xfId="14" applyFont="1" applyBorder="1" applyAlignment="1">
      <alignment vertical="center"/>
    </xf>
    <xf numFmtId="4" fontId="1" fillId="0" borderId="71" xfId="14" applyNumberFormat="1" applyFont="1" applyBorder="1" applyAlignment="1">
      <alignment horizontal="right" vertical="center"/>
    </xf>
    <xf numFmtId="0" fontId="14" fillId="0" borderId="55" xfId="14" applyFont="1" applyBorder="1" applyAlignment="1">
      <alignment horizontal="center" vertical="center"/>
    </xf>
    <xf numFmtId="0" fontId="14" fillId="0" borderId="46" xfId="14" applyFont="1" applyBorder="1" applyAlignment="1">
      <alignment vertical="center" wrapText="1"/>
    </xf>
    <xf numFmtId="0" fontId="14" fillId="0" borderId="75" xfId="15" applyFont="1" applyBorder="1" applyAlignment="1">
      <alignment vertical="center"/>
    </xf>
    <xf numFmtId="0" fontId="14" fillId="0" borderId="69" xfId="15" applyFont="1" applyBorder="1" applyAlignment="1">
      <alignment vertical="center"/>
    </xf>
    <xf numFmtId="3" fontId="14" fillId="0" borderId="1" xfId="15" applyNumberFormat="1" applyFont="1" applyBorder="1" applyAlignment="1">
      <alignment vertical="center"/>
    </xf>
    <xf numFmtId="4" fontId="14" fillId="0" borderId="45" xfId="15" applyNumberFormat="1" applyFont="1" applyBorder="1" applyAlignment="1">
      <alignment vertical="center"/>
    </xf>
    <xf numFmtId="3" fontId="14" fillId="0" borderId="63" xfId="15" applyNumberFormat="1" applyFont="1" applyBorder="1" applyAlignment="1">
      <alignment vertical="center"/>
    </xf>
    <xf numFmtId="4" fontId="14" fillId="0" borderId="7" xfId="14" applyNumberFormat="1" applyFont="1" applyBorder="1" applyAlignment="1">
      <alignment vertical="center"/>
    </xf>
    <xf numFmtId="4" fontId="14" fillId="0" borderId="75" xfId="14" applyNumberFormat="1" applyFont="1" applyBorder="1" applyAlignment="1">
      <alignment vertical="center"/>
    </xf>
    <xf numFmtId="3" fontId="14" fillId="0" borderId="7" xfId="14" applyNumberFormat="1" applyFont="1" applyBorder="1" applyAlignment="1">
      <alignment vertical="center"/>
    </xf>
    <xf numFmtId="3" fontId="14" fillId="0" borderId="45" xfId="14" applyNumberFormat="1" applyFont="1" applyBorder="1" applyAlignment="1">
      <alignment vertical="center"/>
    </xf>
    <xf numFmtId="0" fontId="14" fillId="0" borderId="17" xfId="15" applyFont="1" applyBorder="1" applyAlignment="1">
      <alignment vertical="center"/>
    </xf>
    <xf numFmtId="0" fontId="14" fillId="0" borderId="70" xfId="15" applyFont="1" applyBorder="1" applyAlignment="1">
      <alignment vertical="center"/>
    </xf>
    <xf numFmtId="3" fontId="14" fillId="0" borderId="2" xfId="15" applyNumberFormat="1" applyFont="1" applyBorder="1" applyAlignment="1">
      <alignment vertical="center"/>
    </xf>
    <xf numFmtId="4" fontId="14" fillId="0" borderId="41" xfId="15" applyNumberFormat="1" applyFont="1" applyBorder="1" applyAlignment="1">
      <alignment vertical="center"/>
    </xf>
    <xf numFmtId="3" fontId="14" fillId="0" borderId="50" xfId="15" applyNumberFormat="1" applyFont="1" applyBorder="1" applyAlignment="1">
      <alignment vertical="center"/>
    </xf>
    <xf numFmtId="4" fontId="14" fillId="0" borderId="8" xfId="14" applyNumberFormat="1" applyFont="1" applyBorder="1" applyAlignment="1">
      <alignment vertical="center"/>
    </xf>
    <xf numFmtId="4" fontId="14" fillId="0" borderId="17" xfId="14" applyNumberFormat="1" applyFont="1" applyBorder="1" applyAlignment="1">
      <alignment vertical="center"/>
    </xf>
    <xf numFmtId="3" fontId="14" fillId="0" borderId="8" xfId="14" applyNumberFormat="1" applyFont="1" applyBorder="1" applyAlignment="1">
      <alignment vertical="center"/>
    </xf>
    <xf numFmtId="3" fontId="14" fillId="0" borderId="41" xfId="14" applyNumberFormat="1" applyFont="1" applyBorder="1" applyAlignment="1">
      <alignment vertical="center"/>
    </xf>
    <xf numFmtId="0" fontId="14" fillId="0" borderId="38" xfId="14" applyFont="1" applyBorder="1" applyAlignment="1">
      <alignment vertical="center"/>
    </xf>
    <xf numFmtId="0" fontId="14" fillId="0" borderId="77" xfId="14" applyFont="1" applyBorder="1" applyAlignment="1">
      <alignment vertical="center" wrapText="1"/>
    </xf>
    <xf numFmtId="165" fontId="14" fillId="0" borderId="1" xfId="15" applyNumberFormat="1" applyFont="1" applyBorder="1" applyAlignment="1">
      <alignment horizontal="right" vertical="center"/>
    </xf>
    <xf numFmtId="3" fontId="17" fillId="5" borderId="0" xfId="14" applyNumberFormat="1" applyFont="1" applyFill="1" applyBorder="1"/>
    <xf numFmtId="165" fontId="16" fillId="5" borderId="0" xfId="14" applyNumberFormat="1" applyFont="1" applyFill="1" applyBorder="1" applyAlignment="1">
      <alignment horizontal="right"/>
    </xf>
    <xf numFmtId="165" fontId="16" fillId="5" borderId="0" xfId="14" applyNumberFormat="1" applyFont="1" applyFill="1" applyAlignment="1">
      <alignment horizontal="right"/>
    </xf>
    <xf numFmtId="3" fontId="12" fillId="0" borderId="0" xfId="14" applyNumberFormat="1" applyFont="1" applyAlignment="1">
      <alignment horizontal="left"/>
    </xf>
    <xf numFmtId="3" fontId="12" fillId="0" borderId="0" xfId="14" applyNumberFormat="1" applyFont="1" applyAlignment="1"/>
    <xf numFmtId="0" fontId="12" fillId="0" borderId="0" xfId="14" applyFont="1" applyAlignment="1">
      <alignment wrapText="1"/>
    </xf>
    <xf numFmtId="4" fontId="12" fillId="0" borderId="0" xfId="14" applyNumberFormat="1" applyFont="1" applyAlignment="1"/>
    <xf numFmtId="4" fontId="24" fillId="0" borderId="0" xfId="14" applyNumberFormat="1" applyFont="1" applyAlignment="1"/>
    <xf numFmtId="3" fontId="18" fillId="0" borderId="0" xfId="14" applyNumberFormat="1" applyFont="1" applyBorder="1" applyAlignment="1">
      <alignment horizontal="right" vertical="center"/>
    </xf>
    <xf numFmtId="165" fontId="13" fillId="0" borderId="0" xfId="14" applyNumberFormat="1" applyFont="1" applyAlignment="1">
      <alignment horizontal="right" vertical="center" wrapText="1"/>
    </xf>
    <xf numFmtId="0" fontId="12" fillId="0" borderId="0" xfId="14" applyFont="1" applyBorder="1" applyAlignment="1">
      <alignment vertical="center"/>
    </xf>
    <xf numFmtId="0" fontId="17" fillId="0" borderId="0" xfId="14" applyFont="1" applyBorder="1" applyAlignment="1">
      <alignment vertical="center" wrapText="1"/>
    </xf>
    <xf numFmtId="3" fontId="12" fillId="0" borderId="0" xfId="14" applyNumberFormat="1" applyFont="1" applyBorder="1" applyAlignment="1">
      <alignment horizontal="left" vertical="center"/>
    </xf>
    <xf numFmtId="3" fontId="17" fillId="0" borderId="0" xfId="14" applyNumberFormat="1" applyFont="1" applyBorder="1" applyAlignment="1">
      <alignment horizontal="right" vertical="center"/>
    </xf>
    <xf numFmtId="0" fontId="35" fillId="0" borderId="0" xfId="0" applyFont="1"/>
    <xf numFmtId="4" fontId="14" fillId="5" borderId="75" xfId="14" applyNumberFormat="1" applyFont="1" applyFill="1" applyBorder="1" applyAlignment="1">
      <alignment horizontal="right" vertical="center"/>
    </xf>
    <xf numFmtId="165" fontId="14" fillId="5" borderId="63" xfId="15" applyNumberFormat="1" applyFont="1" applyFill="1" applyBorder="1" applyAlignment="1">
      <alignment horizontal="right" vertical="center"/>
    </xf>
    <xf numFmtId="165" fontId="14" fillId="5" borderId="45" xfId="14" applyNumberFormat="1" applyFont="1" applyFill="1" applyBorder="1" applyAlignment="1">
      <alignment horizontal="right" vertical="center" wrapText="1"/>
    </xf>
    <xf numFmtId="4" fontId="24" fillId="0" borderId="8" xfId="14" applyNumberFormat="1" applyFont="1" applyFill="1" applyBorder="1" applyAlignment="1">
      <alignment horizontal="right" vertical="center"/>
    </xf>
    <xf numFmtId="4" fontId="24" fillId="5" borderId="17" xfId="14" applyNumberFormat="1" applyFont="1" applyFill="1" applyBorder="1" applyAlignment="1">
      <alignment horizontal="right" vertical="center"/>
    </xf>
    <xf numFmtId="165" fontId="24" fillId="5" borderId="50" xfId="15" applyNumberFormat="1" applyFont="1" applyFill="1" applyBorder="1" applyAlignment="1">
      <alignment horizontal="right" vertical="center"/>
    </xf>
    <xf numFmtId="165" fontId="24" fillId="5" borderId="41" xfId="14" applyNumberFormat="1" applyFont="1" applyFill="1" applyBorder="1" applyAlignment="1">
      <alignment horizontal="right" vertical="center" wrapText="1"/>
    </xf>
    <xf numFmtId="0" fontId="24" fillId="0" borderId="22" xfId="14" applyFont="1" applyFill="1" applyBorder="1" applyAlignment="1">
      <alignment vertical="center" wrapText="1"/>
    </xf>
    <xf numFmtId="165" fontId="14" fillId="5" borderId="50" xfId="15" applyNumberFormat="1" applyFont="1" applyFill="1" applyBorder="1" applyAlignment="1">
      <alignment horizontal="right" vertical="center"/>
    </xf>
    <xf numFmtId="165" fontId="14" fillId="5" borderId="41" xfId="14" applyNumberFormat="1" applyFont="1" applyFill="1" applyBorder="1" applyAlignment="1">
      <alignment horizontal="right" vertical="center" wrapText="1"/>
    </xf>
    <xf numFmtId="165" fontId="24" fillId="5" borderId="41" xfId="14" applyNumberFormat="1" applyFont="1" applyFill="1" applyBorder="1" applyAlignment="1">
      <alignment horizontal="right" vertical="center"/>
    </xf>
    <xf numFmtId="0" fontId="12" fillId="5" borderId="2" xfId="14" applyFont="1" applyFill="1" applyBorder="1" applyAlignment="1">
      <alignment horizontal="center" vertical="center"/>
    </xf>
    <xf numFmtId="0" fontId="24" fillId="5" borderId="2" xfId="14" applyFont="1" applyFill="1" applyBorder="1" applyAlignment="1">
      <alignment horizontal="center" vertical="center"/>
    </xf>
    <xf numFmtId="4" fontId="24" fillId="0" borderId="8" xfId="14" applyNumberFormat="1" applyFont="1" applyFill="1" applyBorder="1" applyAlignment="1">
      <alignment vertical="center"/>
    </xf>
    <xf numFmtId="4" fontId="24" fillId="0" borderId="17" xfId="14" applyNumberFormat="1" applyFont="1" applyFill="1" applyBorder="1" applyAlignment="1">
      <alignment vertical="center"/>
    </xf>
    <xf numFmtId="0" fontId="24" fillId="5" borderId="22" xfId="14" applyFont="1" applyFill="1" applyBorder="1" applyAlignment="1">
      <alignment vertical="center"/>
    </xf>
    <xf numFmtId="0" fontId="12" fillId="5" borderId="2" xfId="14" applyFont="1" applyFill="1" applyBorder="1" applyAlignment="1">
      <alignment horizontal="center" vertical="center" wrapText="1"/>
    </xf>
    <xf numFmtId="4" fontId="24" fillId="0" borderId="17" xfId="14" applyNumberFormat="1" applyFont="1" applyFill="1" applyBorder="1" applyAlignment="1">
      <alignment horizontal="right" vertical="center"/>
    </xf>
    <xf numFmtId="49" fontId="24" fillId="0" borderId="25" xfId="14" applyNumberFormat="1" applyFont="1" applyBorder="1" applyAlignment="1">
      <alignment horizontal="left" vertical="center" wrapText="1" shrinkToFit="1"/>
    </xf>
    <xf numFmtId="3" fontId="14" fillId="5" borderId="63" xfId="14" applyNumberFormat="1" applyFont="1" applyFill="1" applyBorder="1" applyAlignment="1">
      <alignment vertical="center"/>
    </xf>
    <xf numFmtId="3" fontId="24" fillId="5" borderId="50" xfId="14" applyNumberFormat="1" applyFont="1" applyFill="1" applyBorder="1" applyAlignment="1">
      <alignment vertical="center"/>
    </xf>
    <xf numFmtId="3" fontId="14" fillId="5" borderId="50" xfId="14" applyNumberFormat="1" applyFont="1" applyFill="1" applyBorder="1" applyAlignment="1">
      <alignment vertical="center"/>
    </xf>
    <xf numFmtId="3" fontId="14" fillId="5" borderId="1" xfId="14" applyNumberFormat="1" applyFont="1" applyFill="1" applyBorder="1" applyAlignment="1">
      <alignment vertical="center"/>
    </xf>
    <xf numFmtId="4" fontId="14" fillId="5" borderId="45" xfId="14" applyNumberFormat="1" applyFont="1" applyFill="1" applyBorder="1" applyAlignment="1">
      <alignment vertical="center"/>
    </xf>
    <xf numFmtId="3" fontId="14" fillId="5" borderId="2" xfId="14" applyNumberFormat="1" applyFont="1" applyFill="1" applyBorder="1" applyAlignment="1">
      <alignment vertical="center"/>
    </xf>
    <xf numFmtId="4" fontId="14" fillId="5" borderId="41" xfId="14" applyNumberFormat="1" applyFont="1" applyFill="1" applyBorder="1" applyAlignment="1">
      <alignment vertical="center"/>
    </xf>
    <xf numFmtId="4" fontId="24" fillId="0" borderId="42" xfId="18" applyNumberFormat="1" applyFont="1" applyFill="1" applyBorder="1" applyAlignment="1">
      <alignment horizontal="right" vertical="center" shrinkToFit="1"/>
    </xf>
    <xf numFmtId="0" fontId="14" fillId="5" borderId="2" xfId="14" applyFont="1" applyFill="1" applyBorder="1" applyAlignment="1">
      <alignment horizontal="center" vertical="center"/>
    </xf>
    <xf numFmtId="165" fontId="14" fillId="5" borderId="41" xfId="14" applyNumberFormat="1" applyFont="1" applyFill="1" applyBorder="1" applyAlignment="1">
      <alignment horizontal="right" vertical="center"/>
    </xf>
    <xf numFmtId="165" fontId="34" fillId="5" borderId="50" xfId="15" applyNumberFormat="1" applyFont="1" applyFill="1" applyBorder="1" applyAlignment="1">
      <alignment horizontal="right" vertical="center"/>
    </xf>
    <xf numFmtId="165" fontId="34" fillId="5" borderId="41" xfId="14" applyNumberFormat="1" applyFont="1" applyFill="1" applyBorder="1" applyAlignment="1">
      <alignment horizontal="right" vertical="center"/>
    </xf>
    <xf numFmtId="165" fontId="14" fillId="5" borderId="41" xfId="15" applyNumberFormat="1" applyFont="1" applyFill="1" applyBorder="1" applyAlignment="1">
      <alignment horizontal="right" vertical="center" wrapText="1"/>
    </xf>
    <xf numFmtId="4" fontId="14" fillId="5" borderId="17" xfId="14" applyNumberFormat="1" applyFont="1" applyFill="1" applyBorder="1" applyAlignment="1">
      <alignment horizontal="right" vertical="center"/>
    </xf>
    <xf numFmtId="0" fontId="14" fillId="5" borderId="3" xfId="14" applyFont="1" applyFill="1" applyBorder="1" applyAlignment="1">
      <alignment horizontal="center" vertical="center" wrapText="1"/>
    </xf>
    <xf numFmtId="3" fontId="14" fillId="5" borderId="3" xfId="14" applyNumberFormat="1" applyFont="1" applyFill="1" applyBorder="1" applyAlignment="1">
      <alignment vertical="center"/>
    </xf>
    <xf numFmtId="4" fontId="14" fillId="5" borderId="43" xfId="14" applyNumberFormat="1" applyFont="1" applyFill="1" applyBorder="1" applyAlignment="1">
      <alignment vertical="center"/>
    </xf>
    <xf numFmtId="3" fontId="14" fillId="5" borderId="51" xfId="14" applyNumberFormat="1" applyFont="1" applyFill="1" applyBorder="1" applyAlignment="1">
      <alignment vertical="center"/>
    </xf>
    <xf numFmtId="4" fontId="14" fillId="5" borderId="37" xfId="14" applyNumberFormat="1" applyFont="1" applyFill="1" applyBorder="1" applyAlignment="1">
      <alignment horizontal="right" vertical="center"/>
    </xf>
    <xf numFmtId="0" fontId="14" fillId="0" borderId="3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5" fontId="14" fillId="0" borderId="0" xfId="21" applyNumberFormat="1" applyFont="1" applyAlignment="1">
      <alignment horizontal="right"/>
    </xf>
    <xf numFmtId="0" fontId="17" fillId="0" borderId="0" xfId="21" applyFont="1" applyBorder="1"/>
    <xf numFmtId="3" fontId="17" fillId="0" borderId="0" xfId="21" applyNumberFormat="1" applyFont="1" applyBorder="1"/>
    <xf numFmtId="4" fontId="17" fillId="0" borderId="0" xfId="21" applyNumberFormat="1" applyFont="1" applyBorder="1"/>
    <xf numFmtId="3" fontId="14" fillId="0" borderId="1" xfId="21" applyNumberFormat="1" applyFont="1" applyBorder="1" applyAlignment="1">
      <alignment vertical="center"/>
    </xf>
    <xf numFmtId="165" fontId="14" fillId="0" borderId="1" xfId="21" applyNumberFormat="1" applyFont="1" applyBorder="1" applyAlignment="1">
      <alignment horizontal="right" vertical="center"/>
    </xf>
    <xf numFmtId="165" fontId="14" fillId="0" borderId="45" xfId="21" applyNumberFormat="1" applyFont="1" applyBorder="1" applyAlignment="1">
      <alignment horizontal="right" vertical="center" wrapText="1"/>
    </xf>
    <xf numFmtId="3" fontId="14" fillId="0" borderId="13" xfId="21" applyNumberFormat="1" applyFont="1" applyBorder="1" applyAlignment="1">
      <alignment vertical="center"/>
    </xf>
    <xf numFmtId="4" fontId="14" fillId="0" borderId="15" xfId="14" applyNumberFormat="1" applyFont="1" applyBorder="1" applyAlignment="1">
      <alignment vertical="center"/>
    </xf>
    <xf numFmtId="4" fontId="14" fillId="0" borderId="38" xfId="14" applyNumberFormat="1" applyFont="1" applyBorder="1" applyAlignment="1">
      <alignment vertical="center"/>
    </xf>
    <xf numFmtId="165" fontId="14" fillId="0" borderId="50" xfId="21" applyNumberFormat="1" applyFont="1" applyBorder="1" applyAlignment="1">
      <alignment horizontal="right" vertical="center"/>
    </xf>
    <xf numFmtId="165" fontId="24" fillId="0" borderId="50" xfId="21" applyNumberFormat="1" applyFont="1" applyBorder="1" applyAlignment="1">
      <alignment horizontal="right" vertical="center"/>
    </xf>
    <xf numFmtId="165" fontId="34" fillId="0" borderId="50" xfId="21" applyNumberFormat="1" applyFont="1" applyBorder="1" applyAlignment="1">
      <alignment horizontal="right" vertical="center"/>
    </xf>
    <xf numFmtId="165" fontId="14" fillId="0" borderId="41" xfId="21" applyNumberFormat="1" applyFont="1" applyBorder="1" applyAlignment="1">
      <alignment horizontal="right" vertical="center" wrapText="1"/>
    </xf>
    <xf numFmtId="4" fontId="24" fillId="0" borderId="71" xfId="14" applyNumberFormat="1" applyFont="1" applyBorder="1" applyAlignment="1">
      <alignment horizontal="right" vertical="center"/>
    </xf>
    <xf numFmtId="3" fontId="14" fillId="0" borderId="63" xfId="21" applyNumberFormat="1" applyFont="1" applyBorder="1" applyAlignment="1">
      <alignment vertical="center"/>
    </xf>
    <xf numFmtId="3" fontId="14" fillId="0" borderId="49" xfId="21" applyNumberFormat="1" applyFont="1" applyBorder="1" applyAlignment="1">
      <alignment vertical="center"/>
    </xf>
    <xf numFmtId="4" fontId="14" fillId="0" borderId="45" xfId="21" applyNumberFormat="1" applyFont="1" applyBorder="1" applyAlignment="1">
      <alignment vertical="center"/>
    </xf>
    <xf numFmtId="4" fontId="14" fillId="0" borderId="42" xfId="21" applyNumberFormat="1" applyFont="1" applyBorder="1" applyAlignment="1">
      <alignment vertical="center"/>
    </xf>
    <xf numFmtId="165" fontId="12" fillId="0" borderId="2" xfId="15" applyNumberFormat="1" applyFont="1" applyBorder="1" applyAlignment="1">
      <alignment horizontal="right" vertical="center"/>
    </xf>
    <xf numFmtId="3" fontId="17" fillId="3" borderId="10" xfId="14" applyNumberFormat="1" applyFont="1" applyFill="1" applyBorder="1"/>
    <xf numFmtId="3" fontId="12" fillId="0" borderId="2" xfId="14" applyNumberFormat="1" applyFont="1" applyBorder="1" applyAlignment="1">
      <alignment vertical="center"/>
    </xf>
    <xf numFmtId="4" fontId="12" fillId="0" borderId="22" xfId="14" applyNumberFormat="1" applyFont="1" applyBorder="1" applyAlignment="1">
      <alignment vertical="center"/>
    </xf>
    <xf numFmtId="3" fontId="12" fillId="0" borderId="50" xfId="14" applyNumberFormat="1" applyFont="1" applyBorder="1" applyAlignment="1">
      <alignment vertical="center"/>
    </xf>
    <xf numFmtId="4" fontId="12" fillId="0" borderId="8" xfId="14" applyNumberFormat="1" applyFont="1" applyBorder="1" applyAlignment="1">
      <alignment horizontal="right" vertical="center"/>
    </xf>
    <xf numFmtId="4" fontId="12" fillId="0" borderId="70" xfId="14" applyNumberFormat="1" applyFont="1" applyBorder="1" applyAlignment="1">
      <alignment horizontal="right" vertical="center"/>
    </xf>
    <xf numFmtId="165" fontId="12" fillId="0" borderId="50" xfId="21" applyNumberFormat="1" applyFont="1" applyBorder="1" applyAlignment="1">
      <alignment horizontal="right" vertical="center"/>
    </xf>
    <xf numFmtId="0" fontId="17" fillId="0" borderId="56" xfId="0" applyFont="1" applyBorder="1" applyAlignment="1"/>
    <xf numFmtId="3" fontId="17" fillId="0" borderId="5" xfId="0" applyNumberFormat="1" applyFont="1" applyFill="1" applyBorder="1" applyAlignment="1">
      <alignment horizontal="right"/>
    </xf>
    <xf numFmtId="4" fontId="17" fillId="0" borderId="16" xfId="0" applyNumberFormat="1" applyFont="1" applyFill="1" applyBorder="1" applyAlignment="1">
      <alignment horizontal="right"/>
    </xf>
    <xf numFmtId="4" fontId="17" fillId="0" borderId="6" xfId="0" applyNumberFormat="1" applyFont="1" applyFill="1" applyBorder="1" applyAlignment="1">
      <alignment horizontal="right"/>
    </xf>
    <xf numFmtId="3" fontId="17" fillId="3" borderId="10" xfId="0" applyNumberFormat="1" applyFont="1" applyFill="1" applyBorder="1" applyAlignment="1">
      <alignment horizontal="right"/>
    </xf>
    <xf numFmtId="164" fontId="17" fillId="0" borderId="24" xfId="0" applyNumberFormat="1" applyFont="1" applyBorder="1" applyAlignment="1"/>
    <xf numFmtId="3" fontId="12" fillId="0" borderId="0" xfId="0" applyNumberFormat="1" applyFont="1" applyAlignment="1">
      <alignment horizontal="right"/>
    </xf>
    <xf numFmtId="0" fontId="17" fillId="0" borderId="61" xfId="0" applyFont="1" applyBorder="1"/>
    <xf numFmtId="3" fontId="17" fillId="0" borderId="30" xfId="0" applyNumberFormat="1" applyFont="1" applyBorder="1"/>
    <xf numFmtId="0" fontId="13" fillId="0" borderId="0" xfId="0" applyFont="1" applyAlignment="1">
      <alignment horizontal="left" wrapText="1"/>
    </xf>
    <xf numFmtId="0" fontId="13" fillId="0" borderId="10" xfId="0" applyFont="1" applyBorder="1"/>
    <xf numFmtId="3" fontId="13" fillId="0" borderId="24" xfId="0" applyNumberFormat="1" applyFont="1" applyBorder="1"/>
    <xf numFmtId="0" fontId="13" fillId="0" borderId="61" xfId="0" applyFont="1" applyBorder="1"/>
    <xf numFmtId="3" fontId="13" fillId="0" borderId="34" xfId="0" applyNumberFormat="1" applyFont="1" applyBorder="1"/>
    <xf numFmtId="166" fontId="14" fillId="0" borderId="54" xfId="0" applyNumberFormat="1" applyFont="1" applyBorder="1" applyAlignment="1">
      <alignment wrapText="1"/>
    </xf>
    <xf numFmtId="3" fontId="14" fillId="0" borderId="1" xfId="0" applyNumberFormat="1" applyFont="1" applyFill="1" applyBorder="1"/>
    <xf numFmtId="3" fontId="14" fillId="0" borderId="7" xfId="0" applyNumberFormat="1" applyFont="1" applyFill="1" applyBorder="1"/>
    <xf numFmtId="3" fontId="14" fillId="0" borderId="45" xfId="0" applyNumberFormat="1" applyFont="1" applyBorder="1"/>
    <xf numFmtId="0" fontId="14" fillId="0" borderId="47" xfId="0" applyFont="1" applyBorder="1" applyAlignment="1">
      <alignment wrapText="1"/>
    </xf>
    <xf numFmtId="3" fontId="14" fillId="0" borderId="2" xfId="0" applyNumberFormat="1" applyFont="1" applyFill="1" applyBorder="1"/>
    <xf numFmtId="3" fontId="14" fillId="0" borderId="41" xfId="0" applyNumberFormat="1" applyFont="1" applyFill="1" applyBorder="1"/>
    <xf numFmtId="0" fontId="14" fillId="0" borderId="47" xfId="0" applyFont="1" applyFill="1" applyBorder="1" applyAlignment="1">
      <alignment wrapText="1"/>
    </xf>
    <xf numFmtId="3" fontId="14" fillId="0" borderId="41" xfId="0" applyNumberFormat="1" applyFont="1" applyBorder="1"/>
    <xf numFmtId="0" fontId="14" fillId="0" borderId="55" xfId="0" applyFont="1" applyBorder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46" xfId="0" applyNumberFormat="1" applyFont="1" applyBorder="1"/>
    <xf numFmtId="3" fontId="14" fillId="0" borderId="2" xfId="0" applyNumberFormat="1" applyFont="1" applyBorder="1" applyAlignment="1">
      <alignment wrapText="1"/>
    </xf>
    <xf numFmtId="4" fontId="14" fillId="0" borderId="8" xfId="0" applyNumberFormat="1" applyFont="1" applyBorder="1" applyAlignment="1">
      <alignment wrapText="1"/>
    </xf>
    <xf numFmtId="4" fontId="14" fillId="0" borderId="17" xfId="0" applyNumberFormat="1" applyFont="1" applyBorder="1" applyAlignment="1">
      <alignment wrapText="1"/>
    </xf>
    <xf numFmtId="3" fontId="34" fillId="0" borderId="2" xfId="0" applyNumberFormat="1" applyFont="1" applyBorder="1"/>
    <xf numFmtId="4" fontId="34" fillId="0" borderId="8" xfId="0" applyNumberFormat="1" applyFont="1" applyBorder="1"/>
    <xf numFmtId="3" fontId="34" fillId="0" borderId="49" xfId="0" applyNumberFormat="1" applyFont="1" applyBorder="1"/>
    <xf numFmtId="4" fontId="34" fillId="0" borderId="49" xfId="0" applyNumberFormat="1" applyFont="1" applyBorder="1"/>
    <xf numFmtId="3" fontId="14" fillId="0" borderId="42" xfId="0" applyNumberFormat="1" applyFont="1" applyBorder="1"/>
    <xf numFmtId="3" fontId="34" fillId="0" borderId="50" xfId="0" applyNumberFormat="1" applyFont="1" applyBorder="1"/>
    <xf numFmtId="3" fontId="14" fillId="0" borderId="2" xfId="0" applyNumberFormat="1" applyFont="1" applyFill="1" applyBorder="1" applyAlignment="1">
      <alignment wrapText="1"/>
    </xf>
    <xf numFmtId="4" fontId="14" fillId="0" borderId="8" xfId="0" applyNumberFormat="1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3" fontId="34" fillId="0" borderId="50" xfId="0" applyNumberFormat="1" applyFont="1" applyFill="1" applyBorder="1"/>
    <xf numFmtId="4" fontId="34" fillId="0" borderId="50" xfId="0" applyNumberFormat="1" applyFont="1" applyFill="1" applyBorder="1"/>
    <xf numFmtId="0" fontId="14" fillId="0" borderId="62" xfId="0" applyFont="1" applyBorder="1"/>
    <xf numFmtId="3" fontId="14" fillId="0" borderId="19" xfId="0" applyNumberFormat="1" applyFont="1" applyBorder="1"/>
    <xf numFmtId="4" fontId="14" fillId="0" borderId="20" xfId="0" applyNumberFormat="1" applyFont="1" applyBorder="1"/>
    <xf numFmtId="4" fontId="14" fillId="0" borderId="73" xfId="0" applyNumberFormat="1" applyFont="1" applyBorder="1"/>
    <xf numFmtId="3" fontId="34" fillId="0" borderId="19" xfId="0" applyNumberFormat="1" applyFont="1" applyBorder="1"/>
    <xf numFmtId="4" fontId="34" fillId="0" borderId="20" xfId="0" applyNumberFormat="1" applyFont="1" applyBorder="1"/>
    <xf numFmtId="3" fontId="34" fillId="0" borderId="66" xfId="0" applyNumberFormat="1" applyFont="1" applyBorder="1"/>
    <xf numFmtId="3" fontId="14" fillId="0" borderId="66" xfId="0" applyNumberFormat="1" applyFont="1" applyBorder="1"/>
    <xf numFmtId="3" fontId="14" fillId="0" borderId="20" xfId="0" applyNumberFormat="1" applyFont="1" applyBorder="1"/>
    <xf numFmtId="3" fontId="12" fillId="2" borderId="19" xfId="15" applyNumberFormat="1" applyFont="1" applyFill="1" applyBorder="1" applyAlignment="1">
      <alignment horizontal="center" vertical="center" wrapText="1"/>
    </xf>
    <xf numFmtId="4" fontId="12" fillId="2" borderId="20" xfId="15" applyNumberFormat="1" applyFont="1" applyFill="1" applyBorder="1" applyAlignment="1">
      <alignment horizontal="center" vertical="center" wrapText="1"/>
    </xf>
    <xf numFmtId="4" fontId="12" fillId="2" borderId="73" xfId="15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 vertical="center"/>
    </xf>
    <xf numFmtId="3" fontId="14" fillId="0" borderId="75" xfId="14" applyNumberFormat="1" applyFont="1" applyBorder="1" applyAlignment="1">
      <alignment vertical="center"/>
    </xf>
    <xf numFmtId="3" fontId="14" fillId="0" borderId="15" xfId="14" applyNumberFormat="1" applyFont="1" applyBorder="1" applyAlignment="1">
      <alignment vertical="center"/>
    </xf>
    <xf numFmtId="3" fontId="14" fillId="0" borderId="38" xfId="14" applyNumberFormat="1" applyFont="1" applyBorder="1" applyAlignment="1">
      <alignment vertical="center"/>
    </xf>
    <xf numFmtId="3" fontId="12" fillId="0" borderId="2" xfId="14" applyNumberFormat="1" applyFont="1" applyBorder="1" applyAlignment="1">
      <alignment horizontal="right" vertical="center"/>
    </xf>
    <xf numFmtId="3" fontId="12" fillId="0" borderId="8" xfId="14" applyNumberFormat="1" applyFont="1" applyBorder="1" applyAlignment="1">
      <alignment horizontal="right" vertical="center"/>
    </xf>
    <xf numFmtId="4" fontId="18" fillId="3" borderId="18" xfId="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vertical="center"/>
    </xf>
    <xf numFmtId="4" fontId="17" fillId="3" borderId="10" xfId="0" applyNumberFormat="1" applyFont="1" applyFill="1" applyBorder="1" applyAlignment="1">
      <alignment vertical="center"/>
    </xf>
    <xf numFmtId="165" fontId="14" fillId="0" borderId="3" xfId="15" applyNumberFormat="1" applyFont="1" applyBorder="1" applyAlignment="1">
      <alignment horizontal="right"/>
    </xf>
    <xf numFmtId="165" fontId="14" fillId="0" borderId="26" xfId="14" applyNumberFormat="1" applyFont="1" applyBorder="1" applyAlignment="1">
      <alignment horizontal="right" wrapText="1"/>
    </xf>
    <xf numFmtId="3" fontId="14" fillId="0" borderId="22" xfId="14" applyNumberFormat="1" applyFont="1" applyBorder="1" applyAlignment="1">
      <alignment horizontal="right" vertical="center"/>
    </xf>
    <xf numFmtId="3" fontId="24" fillId="0" borderId="22" xfId="14" applyNumberFormat="1" applyFont="1" applyBorder="1" applyAlignment="1">
      <alignment horizontal="right" vertical="center"/>
    </xf>
    <xf numFmtId="3" fontId="24" fillId="0" borderId="9" xfId="14" applyNumberFormat="1" applyFont="1" applyFill="1" applyBorder="1" applyAlignment="1">
      <alignment horizontal="right" vertical="center"/>
    </xf>
    <xf numFmtId="3" fontId="24" fillId="0" borderId="26" xfId="14" applyNumberFormat="1" applyFont="1" applyBorder="1" applyAlignment="1">
      <alignment horizontal="right" vertical="center"/>
    </xf>
    <xf numFmtId="3" fontId="17" fillId="0" borderId="0" xfId="14" applyNumberFormat="1" applyFont="1" applyAlignment="1">
      <alignment horizontal="left" wrapText="1"/>
    </xf>
    <xf numFmtId="3" fontId="14" fillId="5" borderId="1" xfId="14" applyNumberFormat="1" applyFont="1" applyFill="1" applyBorder="1" applyAlignment="1">
      <alignment horizontal="right" vertical="center"/>
    </xf>
    <xf numFmtId="3" fontId="14" fillId="5" borderId="7" xfId="14" applyNumberFormat="1" applyFont="1" applyFill="1" applyBorder="1" applyAlignment="1">
      <alignment horizontal="right" vertical="center"/>
    </xf>
    <xf numFmtId="3" fontId="14" fillId="5" borderId="45" xfId="14" applyNumberFormat="1" applyFont="1" applyFill="1" applyBorder="1" applyAlignment="1">
      <alignment horizontal="right" vertical="center"/>
    </xf>
    <xf numFmtId="3" fontId="24" fillId="0" borderId="2" xfId="14" applyNumberFormat="1" applyFont="1" applyFill="1" applyBorder="1" applyAlignment="1">
      <alignment horizontal="right" vertical="center"/>
    </xf>
    <xf numFmtId="3" fontId="24" fillId="0" borderId="8" xfId="14" applyNumberFormat="1" applyFont="1" applyFill="1" applyBorder="1" applyAlignment="1">
      <alignment horizontal="right" vertical="center"/>
    </xf>
    <xf numFmtId="3" fontId="24" fillId="0" borderId="41" xfId="14" applyNumberFormat="1" applyFont="1" applyFill="1" applyBorder="1" applyAlignment="1">
      <alignment horizontal="right" vertical="center"/>
    </xf>
    <xf numFmtId="3" fontId="34" fillId="5" borderId="2" xfId="14" applyNumberFormat="1" applyFont="1" applyFill="1" applyBorder="1" applyAlignment="1">
      <alignment horizontal="right" vertical="center"/>
    </xf>
    <xf numFmtId="3" fontId="34" fillId="5" borderId="8" xfId="14" applyNumberFormat="1" applyFont="1" applyFill="1" applyBorder="1" applyAlignment="1">
      <alignment horizontal="right" vertical="center"/>
    </xf>
    <xf numFmtId="3" fontId="34" fillId="5" borderId="41" xfId="14" applyNumberFormat="1" applyFont="1" applyFill="1" applyBorder="1" applyAlignment="1">
      <alignment horizontal="right" vertical="center"/>
    </xf>
    <xf numFmtId="3" fontId="14" fillId="5" borderId="2" xfId="14" applyNumberFormat="1" applyFont="1" applyFill="1" applyBorder="1" applyAlignment="1">
      <alignment horizontal="right" vertical="center"/>
    </xf>
    <xf numFmtId="3" fontId="14" fillId="5" borderId="8" xfId="14" applyNumberFormat="1" applyFont="1" applyFill="1" applyBorder="1" applyAlignment="1">
      <alignment horizontal="right" vertical="center"/>
    </xf>
    <xf numFmtId="3" fontId="14" fillId="5" borderId="41" xfId="14" applyNumberFormat="1" applyFont="1" applyFill="1" applyBorder="1" applyAlignment="1">
      <alignment horizontal="right" vertical="center"/>
    </xf>
    <xf numFmtId="3" fontId="14" fillId="5" borderId="3" xfId="14" applyNumberFormat="1" applyFont="1" applyFill="1" applyBorder="1" applyAlignment="1">
      <alignment horizontal="right" vertical="center"/>
    </xf>
    <xf numFmtId="3" fontId="14" fillId="5" borderId="9" xfId="14" applyNumberFormat="1" applyFont="1" applyFill="1" applyBorder="1" applyAlignment="1">
      <alignment horizontal="right" vertical="center"/>
    </xf>
    <xf numFmtId="3" fontId="14" fillId="5" borderId="43" xfId="14" applyNumberFormat="1" applyFont="1" applyFill="1" applyBorder="1" applyAlignment="1">
      <alignment horizontal="right" vertical="center"/>
    </xf>
    <xf numFmtId="3" fontId="18" fillId="3" borderId="11" xfId="14" applyNumberFormat="1" applyFont="1" applyFill="1" applyBorder="1" applyAlignment="1">
      <alignment horizontal="right" vertical="center"/>
    </xf>
    <xf numFmtId="3" fontId="17" fillId="3" borderId="16" xfId="14" applyNumberFormat="1" applyFont="1" applyFill="1" applyBorder="1" applyAlignment="1">
      <alignment horizontal="right" vertical="center"/>
    </xf>
    <xf numFmtId="4" fontId="12" fillId="0" borderId="0" xfId="14" applyNumberFormat="1" applyFont="1" applyAlignment="1">
      <alignment vertical="center"/>
    </xf>
    <xf numFmtId="165" fontId="12" fillId="0" borderId="0" xfId="14" applyNumberFormat="1" applyFont="1" applyAlignment="1">
      <alignment horizontal="right" vertical="center"/>
    </xf>
    <xf numFmtId="165" fontId="14" fillId="0" borderId="0" xfId="14" applyNumberFormat="1" applyFont="1" applyAlignment="1">
      <alignment horizontal="right" vertical="center"/>
    </xf>
    <xf numFmtId="165" fontId="14" fillId="0" borderId="0" xfId="21" applyNumberFormat="1" applyFont="1" applyAlignment="1">
      <alignment horizontal="right" vertical="center"/>
    </xf>
    <xf numFmtId="0" fontId="26" fillId="0" borderId="0" xfId="14" applyFont="1" applyAlignment="1">
      <alignment vertical="center"/>
    </xf>
    <xf numFmtId="0" fontId="17" fillId="0" borderId="0" xfId="21" applyFont="1" applyBorder="1" applyAlignment="1">
      <alignment vertical="center"/>
    </xf>
    <xf numFmtId="3" fontId="17" fillId="0" borderId="0" xfId="21" applyNumberFormat="1" applyFont="1" applyBorder="1" applyAlignment="1">
      <alignment vertical="center"/>
    </xf>
    <xf numFmtId="4" fontId="17" fillId="0" borderId="0" xfId="21" applyNumberFormat="1" applyFont="1" applyBorder="1" applyAlignment="1">
      <alignment vertical="center"/>
    </xf>
    <xf numFmtId="4" fontId="16" fillId="0" borderId="0" xfId="14" applyNumberFormat="1" applyFont="1" applyBorder="1" applyAlignment="1">
      <alignment vertical="center"/>
    </xf>
    <xf numFmtId="3" fontId="16" fillId="0" borderId="0" xfId="14" applyNumberFormat="1" applyFont="1" applyBorder="1" applyAlignment="1">
      <alignment vertical="center"/>
    </xf>
    <xf numFmtId="3" fontId="17" fillId="0" borderId="0" xfId="14" applyNumberFormat="1" applyFont="1" applyBorder="1" applyAlignment="1">
      <alignment vertical="center"/>
    </xf>
    <xf numFmtId="165" fontId="16" fillId="0" borderId="0" xfId="14" applyNumberFormat="1" applyFont="1" applyBorder="1" applyAlignment="1">
      <alignment horizontal="right" vertical="center"/>
    </xf>
    <xf numFmtId="165" fontId="16" fillId="0" borderId="0" xfId="14" applyNumberFormat="1" applyFont="1" applyAlignment="1">
      <alignment horizontal="right" vertical="center"/>
    </xf>
    <xf numFmtId="4" fontId="14" fillId="5" borderId="21" xfId="14" applyNumberFormat="1" applyFont="1" applyFill="1" applyBorder="1" applyAlignment="1">
      <alignment horizontal="right" vertical="center"/>
    </xf>
    <xf numFmtId="0" fontId="14" fillId="0" borderId="0" xfId="14" applyFont="1" applyAlignment="1">
      <alignment horizontal="left" vertical="center"/>
    </xf>
    <xf numFmtId="0" fontId="24" fillId="5" borderId="25" xfId="14" applyFont="1" applyFill="1" applyBorder="1" applyAlignment="1">
      <alignment vertical="center" wrapText="1"/>
    </xf>
    <xf numFmtId="3" fontId="24" fillId="0" borderId="13" xfId="14" applyNumberFormat="1" applyFont="1" applyFill="1" applyBorder="1" applyAlignment="1">
      <alignment vertical="center"/>
    </xf>
    <xf numFmtId="4" fontId="24" fillId="5" borderId="25" xfId="14" applyNumberFormat="1" applyFont="1" applyFill="1" applyBorder="1" applyAlignment="1">
      <alignment horizontal="right" vertical="center"/>
    </xf>
    <xf numFmtId="3" fontId="24" fillId="0" borderId="25" xfId="14" applyNumberFormat="1" applyFont="1" applyBorder="1" applyAlignment="1">
      <alignment horizontal="right" vertical="center"/>
    </xf>
    <xf numFmtId="165" fontId="24" fillId="0" borderId="49" xfId="15" applyNumberFormat="1" applyFont="1" applyBorder="1" applyAlignment="1">
      <alignment horizontal="right" vertical="center"/>
    </xf>
    <xf numFmtId="165" fontId="24" fillId="0" borderId="42" xfId="14" applyNumberFormat="1" applyFont="1" applyBorder="1" applyAlignment="1">
      <alignment horizontal="right" vertical="center" wrapText="1"/>
    </xf>
    <xf numFmtId="3" fontId="14" fillId="0" borderId="42" xfId="14" applyNumberFormat="1" applyFont="1" applyBorder="1" applyAlignment="1">
      <alignment vertical="center"/>
    </xf>
    <xf numFmtId="3" fontId="14" fillId="0" borderId="25" xfId="14" applyNumberFormat="1" applyFont="1" applyBorder="1" applyAlignment="1">
      <alignment horizontal="right" vertical="center"/>
    </xf>
    <xf numFmtId="165" fontId="14" fillId="0" borderId="49" xfId="15" applyNumberFormat="1" applyFont="1" applyBorder="1" applyAlignment="1">
      <alignment horizontal="right" vertical="center"/>
    </xf>
    <xf numFmtId="165" fontId="14" fillId="0" borderId="42" xfId="14" applyNumberFormat="1" applyFont="1" applyBorder="1" applyAlignment="1">
      <alignment horizontal="right" vertical="center" wrapText="1"/>
    </xf>
    <xf numFmtId="0" fontId="34" fillId="0" borderId="0" xfId="14" applyFont="1" applyAlignment="1">
      <alignment vertical="center"/>
    </xf>
    <xf numFmtId="3" fontId="24" fillId="0" borderId="49" xfId="14" applyNumberFormat="1" applyFont="1" applyBorder="1" applyAlignment="1">
      <alignment vertical="center"/>
    </xf>
    <xf numFmtId="4" fontId="24" fillId="5" borderId="22" xfId="14" applyNumberFormat="1" applyFont="1" applyFill="1" applyBorder="1" applyAlignment="1">
      <alignment horizontal="right" vertical="center"/>
    </xf>
    <xf numFmtId="4" fontId="14" fillId="5" borderId="22" xfId="14" applyNumberFormat="1" applyFont="1" applyFill="1" applyBorder="1" applyAlignment="1">
      <alignment horizontal="right" vertical="center"/>
    </xf>
    <xf numFmtId="3" fontId="18" fillId="0" borderId="0" xfId="14" applyNumberFormat="1" applyFont="1" applyBorder="1" applyAlignment="1">
      <alignment vertical="center"/>
    </xf>
    <xf numFmtId="4" fontId="18" fillId="0" borderId="0" xfId="14" applyNumberFormat="1" applyFont="1" applyBorder="1" applyAlignment="1">
      <alignment vertical="center"/>
    </xf>
    <xf numFmtId="4" fontId="18" fillId="0" borderId="0" xfId="14" applyNumberFormat="1" applyFont="1" applyBorder="1" applyAlignment="1">
      <alignment horizontal="right" vertical="center"/>
    </xf>
    <xf numFmtId="165" fontId="18" fillId="0" borderId="0" xfId="21" applyNumberFormat="1" applyFont="1" applyBorder="1" applyAlignment="1">
      <alignment horizontal="right" vertical="center"/>
    </xf>
    <xf numFmtId="165" fontId="13" fillId="0" borderId="0" xfId="14" applyNumberFormat="1" applyFont="1" applyBorder="1" applyAlignment="1">
      <alignment horizontal="right" vertical="center" wrapText="1"/>
    </xf>
    <xf numFmtId="3" fontId="12" fillId="0" borderId="0" xfId="14" applyNumberFormat="1" applyFont="1" applyBorder="1" applyAlignment="1">
      <alignment vertical="center"/>
    </xf>
    <xf numFmtId="3" fontId="13" fillId="0" borderId="0" xfId="14" applyNumberFormat="1" applyFont="1" applyBorder="1" applyAlignment="1">
      <alignment vertical="center"/>
    </xf>
    <xf numFmtId="3" fontId="24" fillId="0" borderId="8" xfId="14" applyNumberFormat="1" applyFont="1" applyFill="1" applyBorder="1" applyAlignment="1">
      <alignment vertical="center"/>
    </xf>
    <xf numFmtId="0" fontId="12" fillId="0" borderId="0" xfId="14" applyFont="1" applyFill="1" applyAlignment="1">
      <alignment horizontal="left"/>
    </xf>
    <xf numFmtId="0" fontId="12" fillId="0" borderId="0" xfId="14" applyFont="1" applyFill="1" applyAlignment="1">
      <alignment horizontal="left" wrapText="1"/>
    </xf>
    <xf numFmtId="165" fontId="12" fillId="0" borderId="12" xfId="14" applyNumberFormat="1" applyFont="1" applyFill="1" applyBorder="1" applyAlignment="1">
      <alignment horizontal="right" vertical="center" wrapText="1"/>
    </xf>
    <xf numFmtId="165" fontId="12" fillId="0" borderId="12" xfId="15" applyNumberFormat="1" applyFont="1" applyFill="1" applyBorder="1" applyAlignment="1">
      <alignment horizontal="right" vertical="center"/>
    </xf>
    <xf numFmtId="4" fontId="24" fillId="0" borderId="41" xfId="14" applyNumberFormat="1" applyFont="1" applyFill="1" applyBorder="1" applyAlignment="1">
      <alignment horizontal="right" vertical="center"/>
    </xf>
    <xf numFmtId="165" fontId="24" fillId="0" borderId="50" xfId="15" applyNumberFormat="1" applyFont="1" applyFill="1" applyBorder="1" applyAlignment="1">
      <alignment horizontal="right" vertical="center"/>
    </xf>
    <xf numFmtId="165" fontId="14" fillId="0" borderId="14" xfId="15" applyNumberFormat="1" applyFont="1" applyFill="1" applyBorder="1" applyAlignment="1">
      <alignment horizontal="right" vertical="center"/>
    </xf>
    <xf numFmtId="165" fontId="14" fillId="0" borderId="14" xfId="14" applyNumberFormat="1" applyFont="1" applyFill="1" applyBorder="1" applyAlignment="1">
      <alignment horizontal="right" vertical="center" wrapText="1"/>
    </xf>
    <xf numFmtId="165" fontId="14" fillId="0" borderId="18" xfId="15" applyNumberFormat="1" applyFont="1" applyFill="1" applyBorder="1" applyAlignment="1">
      <alignment horizontal="right" vertical="center"/>
    </xf>
    <xf numFmtId="165" fontId="14" fillId="0" borderId="12" xfId="14" applyNumberFormat="1" applyFont="1" applyFill="1" applyBorder="1" applyAlignment="1">
      <alignment horizontal="right" vertical="center" wrapText="1"/>
    </xf>
    <xf numFmtId="165" fontId="14" fillId="0" borderId="12" xfId="15" applyNumberFormat="1" applyFont="1" applyFill="1" applyBorder="1" applyAlignment="1">
      <alignment horizontal="right" vertical="center"/>
    </xf>
    <xf numFmtId="165" fontId="14" fillId="0" borderId="70" xfId="15" applyNumberFormat="1" applyFont="1" applyFill="1" applyBorder="1" applyAlignment="1">
      <alignment horizontal="right" vertical="center"/>
    </xf>
    <xf numFmtId="165" fontId="14" fillId="0" borderId="22" xfId="15" applyNumberFormat="1" applyFont="1" applyFill="1" applyBorder="1" applyAlignment="1">
      <alignment horizontal="right" vertical="center"/>
    </xf>
    <xf numFmtId="3" fontId="24" fillId="0" borderId="50" xfId="14" applyNumberFormat="1" applyFont="1" applyFill="1" applyBorder="1" applyAlignment="1">
      <alignment vertical="center"/>
    </xf>
    <xf numFmtId="3" fontId="24" fillId="0" borderId="2" xfId="20" applyNumberFormat="1" applyFont="1" applyFill="1" applyBorder="1" applyAlignment="1">
      <alignment vertical="center"/>
    </xf>
    <xf numFmtId="4" fontId="18" fillId="0" borderId="0" xfId="21" applyNumberFormat="1" applyFont="1" applyBorder="1" applyAlignment="1">
      <alignment horizontal="right"/>
    </xf>
    <xf numFmtId="3" fontId="24" fillId="0" borderId="43" xfId="14" applyNumberFormat="1" applyFont="1" applyBorder="1" applyAlignment="1">
      <alignment horizontal="right"/>
    </xf>
    <xf numFmtId="3" fontId="24" fillId="0" borderId="37" xfId="14" applyNumberFormat="1" applyFont="1" applyBorder="1" applyAlignment="1">
      <alignment horizontal="right"/>
    </xf>
    <xf numFmtId="3" fontId="24" fillId="0" borderId="4" xfId="14" applyNumberFormat="1" applyFont="1" applyBorder="1" applyAlignment="1">
      <alignment horizontal="right"/>
    </xf>
    <xf numFmtId="3" fontId="24" fillId="0" borderId="0" xfId="14" applyNumberFormat="1" applyFont="1" applyBorder="1" applyAlignment="1">
      <alignment horizontal="right"/>
    </xf>
    <xf numFmtId="3" fontId="24" fillId="0" borderId="57" xfId="14" applyNumberFormat="1" applyFont="1" applyBorder="1" applyAlignment="1">
      <alignment horizontal="right"/>
    </xf>
    <xf numFmtId="3" fontId="34" fillId="0" borderId="13" xfId="14" applyNumberFormat="1" applyFont="1" applyBorder="1" applyAlignment="1"/>
    <xf numFmtId="4" fontId="34" fillId="0" borderId="25" xfId="14" applyNumberFormat="1" applyFont="1" applyBorder="1" applyAlignment="1"/>
    <xf numFmtId="4" fontId="34" fillId="0" borderId="15" xfId="14" applyNumberFormat="1" applyFont="1" applyBorder="1" applyAlignment="1">
      <alignment horizontal="right"/>
    </xf>
    <xf numFmtId="4" fontId="34" fillId="0" borderId="25" xfId="14" applyNumberFormat="1" applyFont="1" applyBorder="1" applyAlignment="1">
      <alignment horizontal="right"/>
    </xf>
    <xf numFmtId="3" fontId="34" fillId="0" borderId="2" xfId="14" applyNumberFormat="1" applyFont="1" applyBorder="1" applyAlignment="1"/>
    <xf numFmtId="4" fontId="34" fillId="0" borderId="22" xfId="14" applyNumberFormat="1" applyFont="1" applyBorder="1" applyAlignment="1"/>
    <xf numFmtId="4" fontId="34" fillId="0" borderId="8" xfId="14" applyNumberFormat="1" applyFont="1" applyBorder="1" applyAlignment="1">
      <alignment horizontal="right"/>
    </xf>
    <xf numFmtId="4" fontId="34" fillId="0" borderId="22" xfId="14" applyNumberFormat="1" applyFont="1" applyBorder="1" applyAlignment="1">
      <alignment horizontal="right"/>
    </xf>
    <xf numFmtId="3" fontId="14" fillId="0" borderId="1" xfId="14" applyNumberFormat="1" applyFont="1" applyBorder="1" applyAlignment="1"/>
    <xf numFmtId="4" fontId="14" fillId="0" borderId="7" xfId="14" applyNumberFormat="1" applyFont="1" applyBorder="1" applyAlignment="1">
      <alignment horizontal="right"/>
    </xf>
    <xf numFmtId="4" fontId="14" fillId="0" borderId="21" xfId="14" applyNumberFormat="1" applyFont="1" applyBorder="1" applyAlignment="1">
      <alignment horizontal="right"/>
    </xf>
    <xf numFmtId="4" fontId="14" fillId="0" borderId="63" xfId="14" applyNumberFormat="1" applyFont="1" applyBorder="1" applyAlignment="1"/>
    <xf numFmtId="3" fontId="18" fillId="3" borderId="62" xfId="0" applyNumberFormat="1" applyFont="1" applyFill="1" applyBorder="1"/>
    <xf numFmtId="4" fontId="14" fillId="0" borderId="50" xfId="0" applyNumberFormat="1" applyFont="1" applyFill="1" applyBorder="1"/>
    <xf numFmtId="4" fontId="14" fillId="0" borderId="21" xfId="0" applyNumberFormat="1" applyFont="1" applyFill="1" applyBorder="1"/>
    <xf numFmtId="4" fontId="14" fillId="0" borderId="22" xfId="0" applyNumberFormat="1" applyFont="1" applyFill="1" applyBorder="1"/>
    <xf numFmtId="4" fontId="14" fillId="0" borderId="22" xfId="0" applyNumberFormat="1" applyFont="1" applyBorder="1"/>
    <xf numFmtId="4" fontId="14" fillId="0" borderId="50" xfId="0" applyNumberFormat="1" applyFont="1" applyBorder="1"/>
    <xf numFmtId="4" fontId="14" fillId="0" borderId="23" xfId="0" applyNumberFormat="1" applyFont="1" applyBorder="1"/>
    <xf numFmtId="3" fontId="17" fillId="3" borderId="5" xfId="14" applyNumberFormat="1" applyFont="1" applyFill="1" applyBorder="1" applyAlignment="1">
      <alignment vertical="center"/>
    </xf>
    <xf numFmtId="165" fontId="24" fillId="0" borderId="62" xfId="15" applyNumberFormat="1" applyFont="1" applyBorder="1" applyAlignment="1">
      <alignment horizontal="right" vertical="center"/>
    </xf>
    <xf numFmtId="165" fontId="24" fillId="0" borderId="23" xfId="14" applyNumberFormat="1" applyFont="1" applyBorder="1" applyAlignment="1">
      <alignment horizontal="right" vertical="center" wrapText="1"/>
    </xf>
    <xf numFmtId="165" fontId="24" fillId="0" borderId="12" xfId="15" applyNumberFormat="1" applyFont="1" applyBorder="1" applyAlignment="1">
      <alignment horizontal="right" vertical="center"/>
    </xf>
    <xf numFmtId="165" fontId="24" fillId="0" borderId="22" xfId="14" applyNumberFormat="1" applyFont="1" applyBorder="1" applyAlignment="1">
      <alignment horizontal="right" vertical="center" wrapText="1"/>
    </xf>
    <xf numFmtId="0" fontId="24" fillId="0" borderId="0" xfId="14" applyFont="1" applyBorder="1" applyAlignment="1">
      <alignment horizontal="left" vertical="top" wrapText="1"/>
    </xf>
    <xf numFmtId="3" fontId="18" fillId="3" borderId="14" xfId="14" applyNumberFormat="1" applyFont="1" applyFill="1" applyBorder="1" applyAlignment="1">
      <alignment vertical="center"/>
    </xf>
    <xf numFmtId="3" fontId="18" fillId="3" borderId="12" xfId="14" applyNumberFormat="1" applyFont="1" applyFill="1" applyBorder="1" applyAlignment="1">
      <alignment vertical="center"/>
    </xf>
    <xf numFmtId="3" fontId="14" fillId="5" borderId="25" xfId="14" applyNumberFormat="1" applyFont="1" applyFill="1" applyBorder="1" applyAlignment="1">
      <alignment horizontal="right" vertical="center"/>
    </xf>
    <xf numFmtId="3" fontId="14" fillId="0" borderId="0" xfId="14" applyNumberFormat="1" applyFont="1" applyBorder="1" applyAlignment="1">
      <alignment vertical="center"/>
    </xf>
    <xf numFmtId="0" fontId="24" fillId="0" borderId="22" xfId="19" applyFont="1" applyBorder="1" applyAlignment="1">
      <alignment vertical="center"/>
    </xf>
    <xf numFmtId="0" fontId="38" fillId="0" borderId="0" xfId="0" applyFont="1"/>
    <xf numFmtId="0" fontId="24" fillId="0" borderId="71" xfId="14" applyFont="1" applyBorder="1" applyAlignment="1"/>
    <xf numFmtId="0" fontId="14" fillId="5" borderId="3" xfId="14" applyFont="1" applyFill="1" applyBorder="1" applyAlignment="1">
      <alignment horizontal="center" vertical="center"/>
    </xf>
    <xf numFmtId="0" fontId="14" fillId="0" borderId="3" xfId="14" applyFont="1" applyBorder="1" applyAlignment="1">
      <alignment horizontal="center" vertical="center"/>
    </xf>
    <xf numFmtId="0" fontId="14" fillId="0" borderId="4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3" fontId="14" fillId="0" borderId="1" xfId="14" applyNumberFormat="1" applyFont="1" applyBorder="1" applyAlignment="1">
      <alignment horizontal="right"/>
    </xf>
    <xf numFmtId="4" fontId="24" fillId="0" borderId="8" xfId="14" applyNumberFormat="1" applyFont="1" applyBorder="1" applyAlignment="1">
      <alignment vertical="center"/>
    </xf>
    <xf numFmtId="4" fontId="24" fillId="0" borderId="41" xfId="14" applyNumberFormat="1" applyFont="1" applyBorder="1" applyAlignment="1">
      <alignment vertical="center"/>
    </xf>
    <xf numFmtId="4" fontId="14" fillId="0" borderId="42" xfId="14" applyNumberFormat="1" applyFont="1" applyBorder="1" applyAlignment="1">
      <alignment vertical="center"/>
    </xf>
    <xf numFmtId="4" fontId="24" fillId="0" borderId="15" xfId="14" applyNumberFormat="1" applyFont="1" applyBorder="1" applyAlignment="1">
      <alignment vertical="center"/>
    </xf>
    <xf numFmtId="4" fontId="14" fillId="0" borderId="9" xfId="14" applyNumberFormat="1" applyFont="1" applyBorder="1" applyAlignment="1">
      <alignment vertical="center"/>
    </xf>
    <xf numFmtId="4" fontId="14" fillId="0" borderId="43" xfId="14" applyNumberFormat="1" applyFont="1" applyBorder="1" applyAlignment="1">
      <alignment vertical="center"/>
    </xf>
    <xf numFmtId="4" fontId="14" fillId="5" borderId="42" xfId="14" applyNumberFormat="1" applyFont="1" applyFill="1" applyBorder="1" applyAlignment="1">
      <alignment horizontal="right" vertical="center"/>
    </xf>
    <xf numFmtId="3" fontId="14" fillId="5" borderId="49" xfId="14" applyNumberFormat="1" applyFont="1" applyFill="1" applyBorder="1" applyAlignment="1">
      <alignment horizontal="right" vertical="center"/>
    </xf>
    <xf numFmtId="3" fontId="14" fillId="3" borderId="25" xfId="14" applyNumberFormat="1" applyFont="1" applyFill="1" applyBorder="1" applyAlignment="1">
      <alignment horizontal="right" vertical="center"/>
    </xf>
    <xf numFmtId="165" fontId="14" fillId="0" borderId="18" xfId="15" applyNumberFormat="1" applyFont="1" applyBorder="1" applyAlignment="1">
      <alignment horizontal="right" vertical="center"/>
    </xf>
    <xf numFmtId="165" fontId="14" fillId="0" borderId="25" xfId="14" applyNumberFormat="1" applyFont="1" applyBorder="1" applyAlignment="1">
      <alignment horizontal="right" vertical="center" wrapText="1"/>
    </xf>
    <xf numFmtId="3" fontId="29" fillId="0" borderId="13" xfId="14" applyNumberFormat="1" applyFont="1" applyBorder="1" applyAlignment="1">
      <alignment vertical="center"/>
    </xf>
    <xf numFmtId="4" fontId="29" fillId="0" borderId="25" xfId="14" applyNumberFormat="1" applyFont="1" applyBorder="1" applyAlignment="1">
      <alignment vertical="center"/>
    </xf>
    <xf numFmtId="4" fontId="29" fillId="5" borderId="15" xfId="14" applyNumberFormat="1" applyFont="1" applyFill="1" applyBorder="1" applyAlignment="1">
      <alignment horizontal="right" vertical="center"/>
    </xf>
    <xf numFmtId="4" fontId="29" fillId="5" borderId="25" xfId="14" applyNumberFormat="1" applyFont="1" applyFill="1" applyBorder="1" applyAlignment="1">
      <alignment horizontal="right" vertical="center"/>
    </xf>
    <xf numFmtId="3" fontId="29" fillId="0" borderId="49" xfId="14" applyNumberFormat="1" applyFont="1" applyBorder="1" applyAlignment="1">
      <alignment horizontal="right" vertical="center"/>
    </xf>
    <xf numFmtId="3" fontId="36" fillId="0" borderId="15" xfId="14" applyNumberFormat="1" applyFont="1" applyBorder="1" applyAlignment="1">
      <alignment horizontal="right" vertical="center"/>
    </xf>
    <xf numFmtId="3" fontId="36" fillId="0" borderId="77" xfId="14" applyNumberFormat="1" applyFont="1" applyBorder="1" applyAlignment="1">
      <alignment horizontal="right" vertical="center"/>
    </xf>
    <xf numFmtId="3" fontId="29" fillId="3" borderId="18" xfId="14" applyNumberFormat="1" applyFont="1" applyFill="1" applyBorder="1" applyAlignment="1">
      <alignment horizontal="right" vertical="center"/>
    </xf>
    <xf numFmtId="165" fontId="29" fillId="0" borderId="18" xfId="15" applyNumberFormat="1" applyFont="1" applyBorder="1" applyAlignment="1">
      <alignment horizontal="right" vertical="center"/>
    </xf>
    <xf numFmtId="165" fontId="29" fillId="0" borderId="25" xfId="14" applyNumberFormat="1" applyFont="1" applyBorder="1" applyAlignment="1">
      <alignment horizontal="right" vertical="center" wrapText="1"/>
    </xf>
    <xf numFmtId="0" fontId="32" fillId="0" borderId="0" xfId="14" applyFont="1" applyAlignment="1">
      <alignment horizontal="left" vertical="center"/>
    </xf>
    <xf numFmtId="0" fontId="32" fillId="0" borderId="0" xfId="14" applyFont="1" applyAlignment="1">
      <alignment vertical="center"/>
    </xf>
    <xf numFmtId="4" fontId="14" fillId="5" borderId="44" xfId="14" applyNumberFormat="1" applyFont="1" applyFill="1" applyBorder="1" applyAlignment="1">
      <alignment horizontal="right" vertical="center"/>
    </xf>
    <xf numFmtId="3" fontId="14" fillId="0" borderId="44" xfId="14" applyNumberFormat="1" applyFont="1" applyBorder="1" applyAlignment="1">
      <alignment horizontal="right" vertical="center"/>
    </xf>
    <xf numFmtId="49" fontId="14" fillId="0" borderId="47" xfId="14" applyNumberFormat="1" applyFont="1" applyFill="1" applyBorder="1" applyAlignment="1">
      <alignment horizontal="center" vertical="center" wrapText="1" shrinkToFit="1"/>
    </xf>
    <xf numFmtId="3" fontId="18" fillId="3" borderId="70" xfId="14" applyNumberFormat="1" applyFont="1" applyFill="1" applyBorder="1" applyAlignment="1">
      <alignment horizontal="right" vertical="center"/>
    </xf>
    <xf numFmtId="3" fontId="14" fillId="5" borderId="2" xfId="14" applyNumberFormat="1" applyFont="1" applyFill="1" applyBorder="1" applyAlignment="1">
      <alignment vertical="center" wrapText="1"/>
    </xf>
    <xf numFmtId="4" fontId="14" fillId="5" borderId="41" xfId="14" applyNumberFormat="1" applyFont="1" applyFill="1" applyBorder="1" applyAlignment="1">
      <alignment vertical="center" wrapText="1"/>
    </xf>
    <xf numFmtId="3" fontId="14" fillId="5" borderId="50" xfId="14" applyNumberFormat="1" applyFont="1" applyFill="1" applyBorder="1" applyAlignment="1">
      <alignment vertical="center" wrapText="1"/>
    </xf>
    <xf numFmtId="4" fontId="14" fillId="0" borderId="8" xfId="14" applyNumberFormat="1" applyFont="1" applyFill="1" applyBorder="1" applyAlignment="1">
      <alignment horizontal="right" vertical="center" wrapText="1"/>
    </xf>
    <xf numFmtId="4" fontId="14" fillId="5" borderId="17" xfId="14" applyNumberFormat="1" applyFont="1" applyFill="1" applyBorder="1" applyAlignment="1">
      <alignment horizontal="right" vertical="center" wrapText="1"/>
    </xf>
    <xf numFmtId="3" fontId="14" fillId="5" borderId="2" xfId="14" applyNumberFormat="1" applyFont="1" applyFill="1" applyBorder="1" applyAlignment="1">
      <alignment horizontal="right" vertical="center" wrapText="1"/>
    </xf>
    <xf numFmtId="3" fontId="14" fillId="5" borderId="8" xfId="14" applyNumberFormat="1" applyFont="1" applyFill="1" applyBorder="1" applyAlignment="1">
      <alignment horizontal="right" vertical="center" wrapText="1"/>
    </xf>
    <xf numFmtId="3" fontId="14" fillId="5" borderId="41" xfId="14" applyNumberFormat="1" applyFont="1" applyFill="1" applyBorder="1" applyAlignment="1">
      <alignment horizontal="right" vertical="center" wrapText="1"/>
    </xf>
    <xf numFmtId="3" fontId="18" fillId="3" borderId="12" xfId="14" applyNumberFormat="1" applyFont="1" applyFill="1" applyBorder="1" applyAlignment="1">
      <alignment horizontal="right" vertical="center" wrapText="1"/>
    </xf>
    <xf numFmtId="165" fontId="14" fillId="5" borderId="50" xfId="15" applyNumberFormat="1" applyFont="1" applyFill="1" applyBorder="1" applyAlignment="1">
      <alignment horizontal="right" vertical="center" wrapText="1"/>
    </xf>
    <xf numFmtId="4" fontId="14" fillId="0" borderId="8" xfId="14" applyNumberFormat="1" applyFont="1" applyFill="1" applyBorder="1" applyAlignment="1">
      <alignment vertical="center"/>
    </xf>
    <xf numFmtId="4" fontId="14" fillId="0" borderId="17" xfId="14" applyNumberFormat="1" applyFont="1" applyFill="1" applyBorder="1" applyAlignment="1">
      <alignment vertical="center"/>
    </xf>
    <xf numFmtId="165" fontId="14" fillId="0" borderId="11" xfId="15" applyNumberFormat="1" applyFont="1" applyFill="1" applyBorder="1" applyAlignment="1">
      <alignment horizontal="right" vertical="center"/>
    </xf>
    <xf numFmtId="165" fontId="14" fillId="0" borderId="11" xfId="14" applyNumberFormat="1" applyFont="1" applyFill="1" applyBorder="1" applyAlignment="1">
      <alignment horizontal="right" vertical="center" wrapText="1"/>
    </xf>
    <xf numFmtId="4" fontId="14" fillId="0" borderId="49" xfId="14" applyNumberFormat="1" applyFont="1" applyBorder="1" applyAlignment="1">
      <alignment horizontal="right" vertical="center"/>
    </xf>
    <xf numFmtId="4" fontId="14" fillId="0" borderId="77" xfId="14" applyNumberFormat="1" applyFont="1" applyBorder="1" applyAlignment="1">
      <alignment horizontal="right" vertical="center"/>
    </xf>
    <xf numFmtId="4" fontId="14" fillId="0" borderId="15" xfId="14" applyNumberFormat="1" applyFont="1" applyBorder="1" applyAlignment="1">
      <alignment horizontal="right" vertical="center"/>
    </xf>
    <xf numFmtId="3" fontId="14" fillId="0" borderId="19" xfId="14" applyNumberFormat="1" applyFont="1" applyBorder="1" applyAlignment="1">
      <alignment vertical="center"/>
    </xf>
    <xf numFmtId="4" fontId="14" fillId="0" borderId="23" xfId="14" applyNumberFormat="1" applyFont="1" applyBorder="1" applyAlignment="1">
      <alignment vertical="center"/>
    </xf>
    <xf numFmtId="3" fontId="14" fillId="0" borderId="19" xfId="14" applyNumberFormat="1" applyFont="1" applyBorder="1" applyAlignment="1">
      <alignment horizontal="right" vertical="center"/>
    </xf>
    <xf numFmtId="165" fontId="14" fillId="0" borderId="46" xfId="14" applyNumberFormat="1" applyFont="1" applyBorder="1" applyAlignment="1">
      <alignment horizontal="right" vertical="center" wrapText="1"/>
    </xf>
    <xf numFmtId="3" fontId="12" fillId="0" borderId="70" xfId="14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26" xfId="14" applyFont="1" applyFill="1" applyBorder="1" applyAlignment="1">
      <alignment wrapText="1"/>
    </xf>
    <xf numFmtId="4" fontId="24" fillId="0" borderId="26" xfId="14" applyNumberFormat="1" applyFont="1" applyFill="1" applyBorder="1" applyAlignment="1">
      <alignment horizontal="right" vertical="center"/>
    </xf>
    <xf numFmtId="3" fontId="24" fillId="0" borderId="3" xfId="14" applyNumberFormat="1" applyFont="1" applyFill="1" applyBorder="1" applyAlignment="1">
      <alignment horizontal="right" vertical="center"/>
    </xf>
    <xf numFmtId="3" fontId="24" fillId="0" borderId="26" xfId="14" applyNumberFormat="1" applyFont="1" applyFill="1" applyBorder="1" applyAlignment="1">
      <alignment horizontal="right" vertical="center"/>
    </xf>
    <xf numFmtId="165" fontId="24" fillId="0" borderId="2" xfId="15" applyNumberFormat="1" applyFont="1" applyFill="1" applyBorder="1" applyAlignment="1">
      <alignment horizontal="right" vertical="center"/>
    </xf>
    <xf numFmtId="165" fontId="24" fillId="0" borderId="41" xfId="14" applyNumberFormat="1" applyFont="1" applyFill="1" applyBorder="1" applyAlignment="1">
      <alignment horizontal="right" vertical="center" wrapText="1"/>
    </xf>
    <xf numFmtId="0" fontId="24" fillId="0" borderId="22" xfId="14" applyFont="1" applyFill="1" applyBorder="1" applyAlignment="1">
      <alignment wrapText="1"/>
    </xf>
    <xf numFmtId="3" fontId="12" fillId="0" borderId="0" xfId="14" applyNumberFormat="1" applyFont="1" applyFill="1" applyAlignment="1"/>
    <xf numFmtId="4" fontId="14" fillId="0" borderId="0" xfId="14" applyNumberFormat="1" applyFont="1" applyBorder="1"/>
    <xf numFmtId="3" fontId="14" fillId="0" borderId="0" xfId="14" applyNumberFormat="1" applyFont="1" applyBorder="1"/>
    <xf numFmtId="4" fontId="14" fillId="0" borderId="50" xfId="0" applyNumberFormat="1" applyFont="1" applyBorder="1" applyAlignment="1">
      <alignment wrapText="1"/>
    </xf>
    <xf numFmtId="4" fontId="34" fillId="0" borderId="50" xfId="0" applyNumberFormat="1" applyFont="1" applyBorder="1"/>
    <xf numFmtId="4" fontId="14" fillId="0" borderId="0" xfId="14" applyNumberFormat="1" applyFont="1" applyBorder="1" applyAlignment="1">
      <alignment horizontal="right"/>
    </xf>
    <xf numFmtId="4" fontId="14" fillId="0" borderId="0" xfId="14" applyNumberFormat="1" applyFont="1" applyBorder="1" applyAlignment="1">
      <alignment vertical="center"/>
    </xf>
    <xf numFmtId="4" fontId="14" fillId="0" borderId="0" xfId="14" applyNumberFormat="1" applyFont="1" applyBorder="1" applyAlignment="1">
      <alignment horizontal="right" vertical="center"/>
    </xf>
    <xf numFmtId="4" fontId="14" fillId="0" borderId="0" xfId="14" applyNumberFormat="1" applyFont="1" applyFill="1" applyBorder="1" applyAlignment="1">
      <alignment horizontal="right"/>
    </xf>
    <xf numFmtId="4" fontId="14" fillId="0" borderId="21" xfId="14" applyNumberFormat="1" applyFont="1" applyFill="1" applyBorder="1" applyAlignment="1">
      <alignment vertical="center"/>
    </xf>
    <xf numFmtId="4" fontId="24" fillId="0" borderId="22" xfId="14" applyNumberFormat="1" applyFont="1" applyFill="1" applyBorder="1" applyAlignment="1">
      <alignment vertical="center"/>
    </xf>
    <xf numFmtId="4" fontId="14" fillId="0" borderId="22" xfId="14" applyNumberFormat="1" applyFont="1" applyFill="1" applyBorder="1" applyAlignment="1">
      <alignment vertical="center"/>
    </xf>
    <xf numFmtId="4" fontId="12" fillId="0" borderId="22" xfId="14" applyNumberFormat="1" applyFont="1" applyFill="1" applyBorder="1" applyAlignment="1">
      <alignment vertical="center"/>
    </xf>
    <xf numFmtId="3" fontId="14" fillId="0" borderId="0" xfId="14" applyNumberFormat="1" applyFont="1" applyFill="1" applyBorder="1"/>
    <xf numFmtId="4" fontId="14" fillId="0" borderId="0" xfId="14" applyNumberFormat="1" applyFont="1" applyFill="1" applyBorder="1"/>
    <xf numFmtId="3" fontId="14" fillId="0" borderId="0" xfId="14" applyNumberFormat="1" applyFont="1" applyFill="1" applyBorder="1" applyAlignment="1">
      <alignment horizontal="right"/>
    </xf>
    <xf numFmtId="165" fontId="12" fillId="0" borderId="0" xfId="14" applyNumberFormat="1" applyFont="1" applyFill="1" applyAlignment="1">
      <alignment horizontal="right"/>
    </xf>
    <xf numFmtId="3" fontId="13" fillId="0" borderId="0" xfId="14" applyNumberFormat="1" applyFont="1" applyFill="1"/>
    <xf numFmtId="164" fontId="14" fillId="0" borderId="25" xfId="0" applyNumberFormat="1" applyFont="1" applyBorder="1" applyAlignment="1">
      <alignment horizontal="right" vertical="center"/>
    </xf>
    <xf numFmtId="164" fontId="14" fillId="0" borderId="26" xfId="0" applyNumberFormat="1" applyFont="1" applyBorder="1" applyAlignment="1">
      <alignment horizontal="right" vertical="center"/>
    </xf>
    <xf numFmtId="0" fontId="14" fillId="0" borderId="3" xfId="14" applyFont="1" applyBorder="1" applyAlignment="1">
      <alignment horizontal="center" vertical="center"/>
    </xf>
    <xf numFmtId="3" fontId="17" fillId="6" borderId="40" xfId="1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4" fontId="18" fillId="3" borderId="61" xfId="0" applyNumberFormat="1" applyFont="1" applyFill="1" applyBorder="1" applyAlignment="1">
      <alignment vertical="center"/>
    </xf>
    <xf numFmtId="164" fontId="17" fillId="0" borderId="24" xfId="0" applyNumberFormat="1" applyFont="1" applyBorder="1" applyAlignment="1">
      <alignment horizontal="right"/>
    </xf>
    <xf numFmtId="3" fontId="14" fillId="6" borderId="31" xfId="15" applyNumberFormat="1" applyFont="1" applyFill="1" applyBorder="1" applyAlignment="1">
      <alignment horizontal="center" vertical="center" wrapText="1"/>
    </xf>
    <xf numFmtId="4" fontId="14" fillId="6" borderId="44" xfId="15" applyNumberFormat="1" applyFont="1" applyFill="1" applyBorder="1" applyAlignment="1">
      <alignment horizontal="center" vertical="center" wrapText="1"/>
    </xf>
    <xf numFmtId="3" fontId="14" fillId="6" borderId="64" xfId="15" applyNumberFormat="1" applyFont="1" applyFill="1" applyBorder="1" applyAlignment="1">
      <alignment horizontal="center" vertical="center" wrapText="1"/>
    </xf>
    <xf numFmtId="4" fontId="14" fillId="6" borderId="30" xfId="15" applyNumberFormat="1" applyFont="1" applyFill="1" applyBorder="1" applyAlignment="1">
      <alignment horizontal="center" vertical="center" wrapText="1"/>
    </xf>
    <xf numFmtId="3" fontId="24" fillId="0" borderId="2" xfId="14" applyNumberFormat="1" applyFont="1" applyFill="1" applyBorder="1" applyAlignment="1"/>
    <xf numFmtId="4" fontId="24" fillId="0" borderId="22" xfId="14" applyNumberFormat="1" applyFont="1" applyFill="1" applyBorder="1" applyAlignment="1"/>
    <xf numFmtId="4" fontId="24" fillId="0" borderId="8" xfId="14" applyNumberFormat="1" applyFont="1" applyFill="1" applyBorder="1" applyAlignment="1">
      <alignment horizontal="right"/>
    </xf>
    <xf numFmtId="4" fontId="24" fillId="0" borderId="22" xfId="14" applyNumberFormat="1" applyFont="1" applyFill="1" applyBorder="1" applyAlignment="1">
      <alignment horizontal="right"/>
    </xf>
    <xf numFmtId="3" fontId="24" fillId="0" borderId="3" xfId="14" applyNumberFormat="1" applyFont="1" applyFill="1" applyBorder="1" applyAlignment="1">
      <alignment horizontal="right"/>
    </xf>
    <xf numFmtId="3" fontId="24" fillId="0" borderId="9" xfId="14" applyNumberFormat="1" applyFont="1" applyFill="1" applyBorder="1" applyAlignment="1">
      <alignment horizontal="right"/>
    </xf>
    <xf numFmtId="3" fontId="24" fillId="0" borderId="71" xfId="14" applyNumberFormat="1" applyFont="1" applyFill="1" applyBorder="1" applyAlignment="1">
      <alignment horizontal="right"/>
    </xf>
    <xf numFmtId="165" fontId="24" fillId="0" borderId="50" xfId="15" applyNumberFormat="1" applyFont="1" applyFill="1" applyBorder="1" applyAlignment="1">
      <alignment horizontal="right"/>
    </xf>
    <xf numFmtId="165" fontId="24" fillId="0" borderId="41" xfId="14" applyNumberFormat="1" applyFont="1" applyFill="1" applyBorder="1" applyAlignment="1">
      <alignment horizontal="right" wrapText="1"/>
    </xf>
    <xf numFmtId="4" fontId="14" fillId="0" borderId="26" xfId="14" applyNumberFormat="1" applyFont="1" applyFill="1" applyBorder="1" applyAlignment="1">
      <alignment horizontal="right" vertical="center"/>
    </xf>
    <xf numFmtId="3" fontId="14" fillId="0" borderId="3" xfId="14" applyNumberFormat="1" applyFont="1" applyFill="1" applyBorder="1" applyAlignment="1">
      <alignment horizontal="right" vertical="center"/>
    </xf>
    <xf numFmtId="3" fontId="14" fillId="0" borderId="9" xfId="14" applyNumberFormat="1" applyFont="1" applyFill="1" applyBorder="1" applyAlignment="1">
      <alignment horizontal="right" vertical="center"/>
    </xf>
    <xf numFmtId="3" fontId="14" fillId="0" borderId="26" xfId="14" applyNumberFormat="1" applyFont="1" applyFill="1" applyBorder="1" applyAlignment="1">
      <alignment horizontal="right" vertical="center"/>
    </xf>
    <xf numFmtId="165" fontId="12" fillId="0" borderId="2" xfId="15" applyNumberFormat="1" applyFont="1" applyFill="1" applyBorder="1" applyAlignment="1">
      <alignment horizontal="right" vertical="center"/>
    </xf>
    <xf numFmtId="165" fontId="12" fillId="0" borderId="41" xfId="14" applyNumberFormat="1" applyFont="1" applyFill="1" applyBorder="1" applyAlignment="1">
      <alignment horizontal="right" vertical="center" wrapText="1"/>
    </xf>
    <xf numFmtId="0" fontId="24" fillId="0" borderId="8" xfId="14" applyFont="1" applyBorder="1" applyAlignment="1">
      <alignment vertical="center"/>
    </xf>
    <xf numFmtId="0" fontId="12" fillId="6" borderId="5" xfId="14" applyFont="1" applyFill="1" applyBorder="1" applyAlignment="1">
      <alignment horizontal="center" vertical="center"/>
    </xf>
    <xf numFmtId="3" fontId="17" fillId="6" borderId="5" xfId="14" applyNumberFormat="1" applyFont="1" applyFill="1" applyBorder="1" applyAlignment="1">
      <alignment vertical="center"/>
    </xf>
    <xf numFmtId="4" fontId="17" fillId="6" borderId="48" xfId="14" applyNumberFormat="1" applyFont="1" applyFill="1" applyBorder="1" applyAlignment="1">
      <alignment vertical="center"/>
    </xf>
    <xf numFmtId="4" fontId="17" fillId="6" borderId="6" xfId="14" applyNumberFormat="1" applyFont="1" applyFill="1" applyBorder="1" applyAlignment="1">
      <alignment vertical="center"/>
    </xf>
    <xf numFmtId="3" fontId="17" fillId="6" borderId="6" xfId="14" applyNumberFormat="1" applyFont="1" applyFill="1" applyBorder="1" applyAlignment="1">
      <alignment vertical="center"/>
    </xf>
    <xf numFmtId="3" fontId="17" fillId="6" borderId="65" xfId="14" applyNumberFormat="1" applyFont="1" applyFill="1" applyBorder="1" applyAlignment="1">
      <alignment vertical="center"/>
    </xf>
    <xf numFmtId="165" fontId="17" fillId="6" borderId="5" xfId="15" applyNumberFormat="1" applyFont="1" applyFill="1" applyBorder="1" applyAlignment="1">
      <alignment horizontal="right" vertical="center"/>
    </xf>
    <xf numFmtId="165" fontId="17" fillId="6" borderId="16" xfId="14" applyNumberFormat="1" applyFont="1" applyFill="1" applyBorder="1" applyAlignment="1">
      <alignment horizontal="right" vertical="center" wrapText="1"/>
    </xf>
    <xf numFmtId="0" fontId="17" fillId="6" borderId="5" xfId="14" applyFont="1" applyFill="1" applyBorder="1" applyAlignment="1">
      <alignment vertical="center"/>
    </xf>
    <xf numFmtId="3" fontId="17" fillId="6" borderId="5" xfId="14" applyNumberFormat="1" applyFont="1" applyFill="1" applyBorder="1"/>
    <xf numFmtId="4" fontId="17" fillId="6" borderId="64" xfId="14" applyNumberFormat="1" applyFont="1" applyFill="1" applyBorder="1"/>
    <xf numFmtId="3" fontId="17" fillId="6" borderId="5" xfId="14" applyNumberFormat="1" applyFont="1" applyFill="1" applyBorder="1" applyAlignment="1">
      <alignment horizontal="right"/>
    </xf>
    <xf numFmtId="4" fontId="17" fillId="6" borderId="6" xfId="14" applyNumberFormat="1" applyFont="1" applyFill="1" applyBorder="1" applyAlignment="1">
      <alignment horizontal="right"/>
    </xf>
    <xf numFmtId="4" fontId="17" fillId="6" borderId="64" xfId="14" applyNumberFormat="1" applyFont="1" applyFill="1" applyBorder="1" applyAlignment="1">
      <alignment horizontal="right"/>
    </xf>
    <xf numFmtId="3" fontId="17" fillId="6" borderId="6" xfId="14" applyNumberFormat="1" applyFont="1" applyFill="1" applyBorder="1" applyAlignment="1">
      <alignment horizontal="right"/>
    </xf>
    <xf numFmtId="3" fontId="17" fillId="6" borderId="64" xfId="14" applyNumberFormat="1" applyFont="1" applyFill="1" applyBorder="1" applyAlignment="1">
      <alignment horizontal="right"/>
    </xf>
    <xf numFmtId="165" fontId="17" fillId="6" borderId="5" xfId="15" applyNumberFormat="1" applyFont="1" applyFill="1" applyBorder="1" applyAlignment="1">
      <alignment horizontal="right"/>
    </xf>
    <xf numFmtId="165" fontId="17" fillId="6" borderId="16" xfId="14" applyNumberFormat="1" applyFont="1" applyFill="1" applyBorder="1" applyAlignment="1">
      <alignment horizontal="right" wrapText="1"/>
    </xf>
    <xf numFmtId="0" fontId="17" fillId="6" borderId="5" xfId="14" applyFont="1" applyFill="1" applyBorder="1"/>
    <xf numFmtId="0" fontId="17" fillId="6" borderId="36" xfId="14" applyFont="1" applyFill="1" applyBorder="1" applyAlignment="1">
      <alignment vertical="center"/>
    </xf>
    <xf numFmtId="0" fontId="17" fillId="6" borderId="65" xfId="14" applyFont="1" applyFill="1" applyBorder="1" applyAlignment="1">
      <alignment vertical="center"/>
    </xf>
    <xf numFmtId="3" fontId="17" fillId="6" borderId="48" xfId="14" applyNumberFormat="1" applyFont="1" applyFill="1" applyBorder="1" applyAlignment="1">
      <alignment vertical="center"/>
    </xf>
    <xf numFmtId="165" fontId="17" fillId="6" borderId="48" xfId="15" applyNumberFormat="1" applyFont="1" applyFill="1" applyBorder="1" applyAlignment="1">
      <alignment horizontal="right" vertical="center"/>
    </xf>
    <xf numFmtId="0" fontId="24" fillId="5" borderId="8" xfId="14" applyFont="1" applyFill="1" applyBorder="1" applyAlignment="1">
      <alignment vertical="center" wrapText="1"/>
    </xf>
    <xf numFmtId="4" fontId="17" fillId="6" borderId="16" xfId="14" applyNumberFormat="1" applyFont="1" applyFill="1" applyBorder="1" applyAlignment="1">
      <alignment vertical="center"/>
    </xf>
    <xf numFmtId="3" fontId="17" fillId="6" borderId="24" xfId="14" applyNumberFormat="1" applyFont="1" applyFill="1" applyBorder="1" applyAlignment="1">
      <alignment vertical="center"/>
    </xf>
    <xf numFmtId="3" fontId="14" fillId="0" borderId="63" xfId="14" applyNumberFormat="1" applyFont="1" applyFill="1" applyBorder="1" applyAlignment="1">
      <alignment horizontal="right" vertical="center"/>
    </xf>
    <xf numFmtId="3" fontId="14" fillId="0" borderId="15" xfId="14" applyNumberFormat="1" applyFont="1" applyFill="1" applyBorder="1" applyAlignment="1">
      <alignment horizontal="right" vertical="center"/>
    </xf>
    <xf numFmtId="165" fontId="14" fillId="0" borderId="21" xfId="14" applyNumberFormat="1" applyFont="1" applyFill="1" applyBorder="1" applyAlignment="1">
      <alignment horizontal="right" vertical="center" wrapText="1"/>
    </xf>
    <xf numFmtId="0" fontId="12" fillId="0" borderId="0" xfId="14" applyFont="1" applyFill="1" applyAlignment="1">
      <alignment horizontal="left" vertical="center"/>
    </xf>
    <xf numFmtId="0" fontId="12" fillId="0" borderId="0" xfId="14" applyFont="1" applyFill="1" applyAlignment="1">
      <alignment vertical="center"/>
    </xf>
    <xf numFmtId="4" fontId="24" fillId="0" borderId="42" xfId="14" applyNumberFormat="1" applyFont="1" applyFill="1" applyBorder="1" applyAlignment="1">
      <alignment vertical="center"/>
    </xf>
    <xf numFmtId="4" fontId="24" fillId="0" borderId="15" xfId="14" applyNumberFormat="1" applyFont="1" applyFill="1" applyBorder="1" applyAlignment="1">
      <alignment horizontal="right" vertical="center"/>
    </xf>
    <xf numFmtId="4" fontId="24" fillId="0" borderId="42" xfId="14" applyNumberFormat="1" applyFont="1" applyFill="1" applyBorder="1" applyAlignment="1">
      <alignment horizontal="right" vertical="center"/>
    </xf>
    <xf numFmtId="3" fontId="24" fillId="0" borderId="49" xfId="14" applyNumberFormat="1" applyFont="1" applyFill="1" applyBorder="1" applyAlignment="1">
      <alignment horizontal="right" vertical="center"/>
    </xf>
    <xf numFmtId="3" fontId="24" fillId="0" borderId="15" xfId="14" applyNumberFormat="1" applyFont="1" applyFill="1" applyBorder="1" applyAlignment="1">
      <alignment horizontal="right" vertical="center"/>
    </xf>
    <xf numFmtId="3" fontId="24" fillId="0" borderId="42" xfId="14" applyNumberFormat="1" applyFont="1" applyFill="1" applyBorder="1" applyAlignment="1">
      <alignment horizontal="right" vertical="center"/>
    </xf>
    <xf numFmtId="165" fontId="24" fillId="0" borderId="18" xfId="15" applyNumberFormat="1" applyFont="1" applyFill="1" applyBorder="1" applyAlignment="1">
      <alignment horizontal="right" vertical="center"/>
    </xf>
    <xf numFmtId="165" fontId="24" fillId="0" borderId="25" xfId="14" applyNumberFormat="1" applyFont="1" applyFill="1" applyBorder="1" applyAlignment="1">
      <alignment horizontal="right" vertical="center" wrapText="1"/>
    </xf>
    <xf numFmtId="0" fontId="24" fillId="0" borderId="0" xfId="14" applyFont="1" applyFill="1" applyAlignment="1">
      <alignment horizontal="left" vertical="center"/>
    </xf>
    <xf numFmtId="0" fontId="24" fillId="0" borderId="0" xfId="14" applyFont="1" applyFill="1" applyAlignment="1">
      <alignment vertical="center"/>
    </xf>
    <xf numFmtId="49" fontId="24" fillId="0" borderId="8" xfId="14" applyNumberFormat="1" applyFont="1" applyFill="1" applyBorder="1" applyAlignment="1">
      <alignment horizontal="left" vertical="center"/>
    </xf>
    <xf numFmtId="4" fontId="17" fillId="6" borderId="24" xfId="14" applyNumberFormat="1" applyFont="1" applyFill="1" applyBorder="1" applyAlignment="1">
      <alignment vertical="center"/>
    </xf>
    <xf numFmtId="165" fontId="17" fillId="6" borderId="10" xfId="15" applyNumberFormat="1" applyFont="1" applyFill="1" applyBorder="1" applyAlignment="1">
      <alignment horizontal="right" vertical="center"/>
    </xf>
    <xf numFmtId="165" fontId="17" fillId="6" borderId="24" xfId="14" applyNumberFormat="1" applyFont="1" applyFill="1" applyBorder="1" applyAlignment="1">
      <alignment horizontal="right" vertical="center" wrapText="1"/>
    </xf>
    <xf numFmtId="3" fontId="14" fillId="0" borderId="66" xfId="14" applyNumberFormat="1" applyFont="1" applyBorder="1" applyAlignment="1">
      <alignment vertical="center"/>
    </xf>
    <xf numFmtId="4" fontId="14" fillId="0" borderId="20" xfId="14" applyNumberFormat="1" applyFont="1" applyBorder="1" applyAlignment="1">
      <alignment horizontal="right" vertical="center"/>
    </xf>
    <xf numFmtId="4" fontId="14" fillId="0" borderId="79" xfId="14" applyNumberFormat="1" applyFont="1" applyBorder="1" applyAlignment="1">
      <alignment horizontal="right" vertical="center"/>
    </xf>
    <xf numFmtId="3" fontId="14" fillId="0" borderId="79" xfId="14" applyNumberFormat="1" applyFont="1" applyBorder="1" applyAlignment="1">
      <alignment horizontal="right" vertical="center"/>
    </xf>
    <xf numFmtId="165" fontId="14" fillId="0" borderId="66" xfId="15" applyNumberFormat="1" applyFont="1" applyBorder="1" applyAlignment="1">
      <alignment horizontal="right" vertical="center"/>
    </xf>
    <xf numFmtId="0" fontId="17" fillId="6" borderId="16" xfId="14" applyFont="1" applyFill="1" applyBorder="1" applyAlignment="1">
      <alignment vertical="center"/>
    </xf>
    <xf numFmtId="4" fontId="17" fillId="6" borderId="6" xfId="14" applyNumberFormat="1" applyFont="1" applyFill="1" applyBorder="1" applyAlignment="1">
      <alignment horizontal="right" vertical="center"/>
    </xf>
    <xf numFmtId="4" fontId="17" fillId="6" borderId="65" xfId="14" applyNumberFormat="1" applyFont="1" applyFill="1" applyBorder="1" applyAlignment="1">
      <alignment horizontal="right" vertical="center"/>
    </xf>
    <xf numFmtId="3" fontId="17" fillId="6" borderId="5" xfId="14" applyNumberFormat="1" applyFont="1" applyFill="1" applyBorder="1" applyAlignment="1">
      <alignment horizontal="right" vertical="center"/>
    </xf>
    <xf numFmtId="3" fontId="17" fillId="6" borderId="6" xfId="14" applyNumberFormat="1" applyFont="1" applyFill="1" applyBorder="1" applyAlignment="1">
      <alignment horizontal="right" vertical="center"/>
    </xf>
    <xf numFmtId="3" fontId="17" fillId="6" borderId="65" xfId="14" applyNumberFormat="1" applyFont="1" applyFill="1" applyBorder="1" applyAlignment="1">
      <alignment horizontal="right" vertical="center"/>
    </xf>
    <xf numFmtId="0" fontId="17" fillId="6" borderId="24" xfId="14" applyFont="1" applyFill="1" applyBorder="1" applyAlignment="1">
      <alignment vertical="center"/>
    </xf>
    <xf numFmtId="3" fontId="17" fillId="6" borderId="16" xfId="14" applyNumberFormat="1" applyFont="1" applyFill="1" applyBorder="1" applyAlignment="1">
      <alignment horizontal="right" vertical="center"/>
    </xf>
    <xf numFmtId="49" fontId="24" fillId="0" borderId="8" xfId="14" applyNumberFormat="1" applyFont="1" applyBorder="1" applyAlignment="1">
      <alignment horizontal="left" vertical="center" shrinkToFit="1"/>
    </xf>
    <xf numFmtId="0" fontId="24" fillId="0" borderId="26" xfId="14" applyFont="1" applyBorder="1" applyAlignment="1">
      <alignment vertical="center" wrapText="1"/>
    </xf>
    <xf numFmtId="3" fontId="17" fillId="6" borderId="48" xfId="14" applyNumberFormat="1" applyFont="1" applyFill="1" applyBorder="1" applyAlignment="1">
      <alignment horizontal="right" vertical="center"/>
    </xf>
    <xf numFmtId="165" fontId="17" fillId="6" borderId="48" xfId="21" applyNumberFormat="1" applyFont="1" applyFill="1" applyBorder="1" applyAlignment="1">
      <alignment horizontal="right" vertical="center"/>
    </xf>
    <xf numFmtId="3" fontId="17" fillId="6" borderId="56" xfId="14" applyNumberFormat="1" applyFont="1" applyFill="1" applyBorder="1" applyAlignment="1">
      <alignment vertical="center"/>
    </xf>
    <xf numFmtId="0" fontId="24" fillId="0" borderId="8" xfId="14" applyFont="1" applyFill="1" applyBorder="1" applyAlignment="1">
      <alignment vertical="center" wrapText="1"/>
    </xf>
    <xf numFmtId="0" fontId="24" fillId="0" borderId="8" xfId="19" applyFont="1" applyBorder="1" applyAlignment="1">
      <alignment vertical="center"/>
    </xf>
    <xf numFmtId="0" fontId="17" fillId="6" borderId="16" xfId="14" applyFont="1" applyFill="1" applyBorder="1"/>
    <xf numFmtId="4" fontId="17" fillId="6" borderId="24" xfId="14" applyNumberFormat="1" applyFont="1" applyFill="1" applyBorder="1"/>
    <xf numFmtId="4" fontId="17" fillId="6" borderId="48" xfId="14" applyNumberFormat="1" applyFont="1" applyFill="1" applyBorder="1"/>
    <xf numFmtId="3" fontId="17" fillId="6" borderId="48" xfId="14" applyNumberFormat="1" applyFont="1" applyFill="1" applyBorder="1"/>
    <xf numFmtId="3" fontId="17" fillId="6" borderId="24" xfId="14" applyNumberFormat="1" applyFont="1" applyFill="1" applyBorder="1"/>
    <xf numFmtId="165" fontId="17" fillId="6" borderId="48" xfId="21" applyNumberFormat="1" applyFont="1" applyFill="1" applyBorder="1" applyAlignment="1">
      <alignment horizontal="right"/>
    </xf>
    <xf numFmtId="4" fontId="14" fillId="0" borderId="26" xfId="14" applyNumberFormat="1" applyFont="1" applyFill="1" applyBorder="1" applyAlignment="1">
      <alignment vertical="center"/>
    </xf>
    <xf numFmtId="0" fontId="17" fillId="6" borderId="5" xfId="14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wrapText="1"/>
    </xf>
    <xf numFmtId="3" fontId="17" fillId="6" borderId="31" xfId="0" applyNumberFormat="1" applyFont="1" applyFill="1" applyBorder="1" applyAlignment="1">
      <alignment wrapText="1"/>
    </xf>
    <xf numFmtId="4" fontId="17" fillId="6" borderId="30" xfId="0" applyNumberFormat="1" applyFont="1" applyFill="1" applyBorder="1" applyAlignment="1">
      <alignment wrapText="1"/>
    </xf>
    <xf numFmtId="4" fontId="17" fillId="6" borderId="68" xfId="0" applyNumberFormat="1" applyFont="1" applyFill="1" applyBorder="1" applyAlignment="1">
      <alignment wrapText="1"/>
    </xf>
    <xf numFmtId="3" fontId="17" fillId="6" borderId="31" xfId="0" applyNumberFormat="1" applyFont="1" applyFill="1" applyBorder="1"/>
    <xf numFmtId="4" fontId="17" fillId="6" borderId="30" xfId="0" applyNumberFormat="1" applyFont="1" applyFill="1" applyBorder="1"/>
    <xf numFmtId="3" fontId="27" fillId="6" borderId="64" xfId="0" applyNumberFormat="1" applyFont="1" applyFill="1" applyBorder="1"/>
    <xf numFmtId="4" fontId="27" fillId="6" borderId="30" xfId="0" applyNumberFormat="1" applyFont="1" applyFill="1" applyBorder="1"/>
    <xf numFmtId="3" fontId="17" fillId="3" borderId="61" xfId="0" applyNumberFormat="1" applyFont="1" applyFill="1" applyBorder="1"/>
    <xf numFmtId="3" fontId="30" fillId="3" borderId="18" xfId="0" applyNumberFormat="1" applyFont="1" applyFill="1" applyBorder="1"/>
    <xf numFmtId="3" fontId="30" fillId="3" borderId="12" xfId="0" applyNumberFormat="1" applyFont="1" applyFill="1" applyBorder="1"/>
    <xf numFmtId="3" fontId="30" fillId="3" borderId="62" xfId="0" applyNumberFormat="1" applyFont="1" applyFill="1" applyBorder="1"/>
    <xf numFmtId="3" fontId="17" fillId="6" borderId="6" xfId="0" applyNumberFormat="1" applyFont="1" applyFill="1" applyBorder="1"/>
    <xf numFmtId="0" fontId="17" fillId="6" borderId="33" xfId="0" applyFont="1" applyFill="1" applyBorder="1" applyAlignment="1">
      <alignment wrapText="1"/>
    </xf>
    <xf numFmtId="3" fontId="17" fillId="6" borderId="30" xfId="0" applyNumberFormat="1" applyFont="1" applyFill="1" applyBorder="1"/>
    <xf numFmtId="3" fontId="17" fillId="6" borderId="44" xfId="0" applyNumberFormat="1" applyFont="1" applyFill="1" applyBorder="1"/>
    <xf numFmtId="3" fontId="18" fillId="3" borderId="21" xfId="0" applyNumberFormat="1" applyFont="1" applyFill="1" applyBorder="1"/>
    <xf numFmtId="3" fontId="18" fillId="3" borderId="22" xfId="0" applyNumberFormat="1" applyFont="1" applyFill="1" applyBorder="1"/>
    <xf numFmtId="3" fontId="18" fillId="3" borderId="23" xfId="0" applyNumberFormat="1" applyFont="1" applyFill="1" applyBorder="1"/>
    <xf numFmtId="3" fontId="17" fillId="3" borderId="34" xfId="0" applyNumberFormat="1" applyFont="1" applyFill="1" applyBorder="1"/>
    <xf numFmtId="0" fontId="17" fillId="6" borderId="56" xfId="0" applyFont="1" applyFill="1" applyBorder="1" applyAlignment="1">
      <alignment vertical="center" wrapText="1"/>
    </xf>
    <xf numFmtId="4" fontId="17" fillId="6" borderId="5" xfId="0" applyNumberFormat="1" applyFont="1" applyFill="1" applyBorder="1" applyAlignment="1">
      <alignment vertical="center"/>
    </xf>
    <xf numFmtId="4" fontId="17" fillId="6" borderId="16" xfId="0" applyNumberFormat="1" applyFont="1" applyFill="1" applyBorder="1" applyAlignment="1">
      <alignment vertical="center"/>
    </xf>
    <xf numFmtId="4" fontId="17" fillId="6" borderId="6" xfId="0" applyNumberFormat="1" applyFont="1" applyFill="1" applyBorder="1" applyAlignment="1">
      <alignment vertical="center"/>
    </xf>
    <xf numFmtId="164" fontId="14" fillId="6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3" xfId="14" applyFont="1" applyBorder="1" applyAlignment="1">
      <alignment horizontal="center" vertical="center"/>
    </xf>
    <xf numFmtId="4" fontId="18" fillId="3" borderId="62" xfId="0" applyNumberFormat="1" applyFont="1" applyFill="1" applyBorder="1" applyAlignment="1">
      <alignment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3" fontId="18" fillId="3" borderId="18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3" fontId="18" fillId="3" borderId="11" xfId="0" applyNumberFormat="1" applyFont="1" applyFill="1" applyBorder="1" applyAlignment="1">
      <alignment vertical="center"/>
    </xf>
    <xf numFmtId="0" fontId="17" fillId="0" borderId="65" xfId="0" applyFont="1" applyBorder="1" applyAlignment="1">
      <alignment horizontal="left" vertical="center" wrapText="1"/>
    </xf>
    <xf numFmtId="3" fontId="17" fillId="3" borderId="10" xfId="0" applyNumberFormat="1" applyFont="1" applyFill="1" applyBorder="1" applyAlignment="1">
      <alignment vertical="center"/>
    </xf>
    <xf numFmtId="49" fontId="24" fillId="0" borderId="71" xfId="0" applyNumberFormat="1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Border="1"/>
    <xf numFmtId="3" fontId="34" fillId="0" borderId="0" xfId="14" applyNumberFormat="1" applyFont="1" applyAlignment="1">
      <alignment vertical="center"/>
    </xf>
    <xf numFmtId="0" fontId="18" fillId="6" borderId="56" xfId="0" applyFont="1" applyFill="1" applyBorder="1" applyAlignment="1">
      <alignment vertical="center" wrapText="1"/>
    </xf>
    <xf numFmtId="0" fontId="14" fillId="7" borderId="58" xfId="0" applyFont="1" applyFill="1" applyBorder="1" applyAlignment="1">
      <alignment vertical="center" wrapText="1"/>
    </xf>
    <xf numFmtId="164" fontId="14" fillId="7" borderId="25" xfId="0" applyNumberFormat="1" applyFont="1" applyFill="1" applyBorder="1" applyAlignment="1">
      <alignment horizontal="right" vertical="center"/>
    </xf>
    <xf numFmtId="164" fontId="14" fillId="7" borderId="23" xfId="0" applyNumberFormat="1" applyFont="1" applyFill="1" applyBorder="1" applyAlignment="1">
      <alignment horizontal="right" vertical="center"/>
    </xf>
    <xf numFmtId="0" fontId="14" fillId="7" borderId="47" xfId="0" applyFont="1" applyFill="1" applyBorder="1" applyAlignment="1">
      <alignment vertical="center" wrapText="1"/>
    </xf>
    <xf numFmtId="4" fontId="14" fillId="7" borderId="2" xfId="0" applyNumberFormat="1" applyFont="1" applyFill="1" applyBorder="1" applyAlignment="1">
      <alignment vertical="center"/>
    </xf>
    <xf numFmtId="4" fontId="14" fillId="7" borderId="41" xfId="0" applyNumberFormat="1" applyFont="1" applyFill="1" applyBorder="1" applyAlignment="1">
      <alignment vertical="center"/>
    </xf>
    <xf numFmtId="4" fontId="14" fillId="7" borderId="8" xfId="0" applyNumberFormat="1" applyFont="1" applyFill="1" applyBorder="1" applyAlignment="1">
      <alignment vertical="center"/>
    </xf>
    <xf numFmtId="0" fontId="14" fillId="7" borderId="33" xfId="0" applyFont="1" applyFill="1" applyBorder="1" applyAlignment="1">
      <alignment vertical="center" wrapText="1"/>
    </xf>
    <xf numFmtId="4" fontId="14" fillId="7" borderId="31" xfId="0" applyNumberFormat="1" applyFont="1" applyFill="1" applyBorder="1" applyAlignment="1">
      <alignment vertical="center"/>
    </xf>
    <xf numFmtId="4" fontId="14" fillId="7" borderId="44" xfId="0" applyNumberFormat="1" applyFont="1" applyFill="1" applyBorder="1" applyAlignment="1">
      <alignment vertical="center"/>
    </xf>
    <xf numFmtId="4" fontId="14" fillId="7" borderId="30" xfId="0" applyNumberFormat="1" applyFont="1" applyFill="1" applyBorder="1" applyAlignment="1">
      <alignment vertical="center"/>
    </xf>
    <xf numFmtId="164" fontId="14" fillId="7" borderId="22" xfId="0" applyNumberFormat="1" applyFont="1" applyFill="1" applyBorder="1" applyAlignment="1">
      <alignment horizontal="right" vertical="center"/>
    </xf>
    <xf numFmtId="0" fontId="14" fillId="7" borderId="59" xfId="0" applyFont="1" applyFill="1" applyBorder="1" applyAlignment="1">
      <alignment vertical="center" wrapText="1"/>
    </xf>
    <xf numFmtId="4" fontId="14" fillId="7" borderId="3" xfId="0" applyNumberFormat="1" applyFont="1" applyFill="1" applyBorder="1" applyAlignment="1">
      <alignment vertical="center"/>
    </xf>
    <xf numFmtId="4" fontId="14" fillId="7" borderId="43" xfId="0" applyNumberFormat="1" applyFont="1" applyFill="1" applyBorder="1" applyAlignment="1">
      <alignment vertical="center"/>
    </xf>
    <xf numFmtId="4" fontId="14" fillId="7" borderId="9" xfId="0" applyNumberFormat="1" applyFont="1" applyFill="1" applyBorder="1" applyAlignment="1">
      <alignment vertical="center"/>
    </xf>
    <xf numFmtId="0" fontId="18" fillId="7" borderId="56" xfId="0" applyFont="1" applyFill="1" applyBorder="1" applyAlignment="1">
      <alignment vertical="center" wrapText="1"/>
    </xf>
    <xf numFmtId="4" fontId="18" fillId="7" borderId="5" xfId="0" applyNumberFormat="1" applyFont="1" applyFill="1" applyBorder="1" applyAlignment="1">
      <alignment vertical="center"/>
    </xf>
    <xf numFmtId="4" fontId="18" fillId="7" borderId="16" xfId="0" applyNumberFormat="1" applyFont="1" applyFill="1" applyBorder="1" applyAlignment="1">
      <alignment vertical="center"/>
    </xf>
    <xf numFmtId="4" fontId="18" fillId="7" borderId="6" xfId="0" applyNumberFormat="1" applyFont="1" applyFill="1" applyBorder="1" applyAlignment="1">
      <alignment vertical="center"/>
    </xf>
    <xf numFmtId="164" fontId="14" fillId="7" borderId="26" xfId="0" applyNumberFormat="1" applyFont="1" applyFill="1" applyBorder="1" applyAlignment="1">
      <alignment horizontal="right" vertical="center"/>
    </xf>
    <xf numFmtId="164" fontId="14" fillId="7" borderId="10" xfId="0" applyNumberFormat="1" applyFont="1" applyFill="1" applyBorder="1" applyAlignment="1">
      <alignment horizontal="right" vertical="center"/>
    </xf>
    <xf numFmtId="0" fontId="14" fillId="0" borderId="4" xfId="14" applyFont="1" applyFill="1" applyBorder="1" applyAlignment="1">
      <alignment horizontal="center" vertical="center"/>
    </xf>
    <xf numFmtId="3" fontId="14" fillId="0" borderId="13" xfId="20" applyNumberFormat="1" applyFont="1" applyFill="1" applyBorder="1" applyAlignment="1">
      <alignment horizontal="right" vertical="center"/>
    </xf>
    <xf numFmtId="3" fontId="14" fillId="0" borderId="49" xfId="14" applyNumberFormat="1" applyFont="1" applyFill="1" applyBorder="1" applyAlignment="1">
      <alignment vertical="center"/>
    </xf>
    <xf numFmtId="4" fontId="14" fillId="0" borderId="15" xfId="14" applyNumberFormat="1" applyFont="1" applyFill="1" applyBorder="1" applyAlignment="1">
      <alignment horizontal="right" vertical="center"/>
    </xf>
    <xf numFmtId="4" fontId="14" fillId="0" borderId="38" xfId="14" applyNumberFormat="1" applyFont="1" applyFill="1" applyBorder="1" applyAlignment="1">
      <alignment horizontal="right" vertical="center"/>
    </xf>
    <xf numFmtId="3" fontId="14" fillId="0" borderId="13" xfId="14" applyNumberFormat="1" applyFont="1" applyFill="1" applyBorder="1" applyAlignment="1">
      <alignment horizontal="right" vertical="center"/>
    </xf>
    <xf numFmtId="3" fontId="14" fillId="0" borderId="42" xfId="14" applyNumberFormat="1" applyFont="1" applyFill="1" applyBorder="1" applyAlignment="1">
      <alignment horizontal="right" vertical="center"/>
    </xf>
    <xf numFmtId="165" fontId="14" fillId="0" borderId="18" xfId="14" applyNumberFormat="1" applyFont="1" applyFill="1" applyBorder="1" applyAlignment="1">
      <alignment horizontal="right" vertical="center" wrapText="1"/>
    </xf>
    <xf numFmtId="0" fontId="17" fillId="6" borderId="5" xfId="0" applyFont="1" applyFill="1" applyBorder="1" applyAlignment="1">
      <alignment horizontal="center" vertical="center"/>
    </xf>
    <xf numFmtId="3" fontId="17" fillId="6" borderId="6" xfId="1" applyNumberFormat="1" applyFont="1" applyFill="1" applyBorder="1" applyAlignment="1">
      <alignment horizontal="center" vertical="center" wrapText="1"/>
    </xf>
    <xf numFmtId="3" fontId="17" fillId="3" borderId="10" xfId="1" applyNumberFormat="1" applyFont="1" applyFill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vertical="center"/>
    </xf>
    <xf numFmtId="3" fontId="18" fillId="3" borderId="18" xfId="14" applyNumberFormat="1" applyFont="1" applyFill="1" applyBorder="1" applyAlignment="1">
      <alignment vertical="center"/>
    </xf>
    <xf numFmtId="0" fontId="14" fillId="8" borderId="47" xfId="0" applyFont="1" applyFill="1" applyBorder="1" applyAlignment="1">
      <alignment vertical="center" wrapText="1"/>
    </xf>
    <xf numFmtId="4" fontId="14" fillId="8" borderId="2" xfId="0" applyNumberFormat="1" applyFont="1" applyFill="1" applyBorder="1" applyAlignment="1">
      <alignment vertical="center"/>
    </xf>
    <xf numFmtId="4" fontId="14" fillId="8" borderId="41" xfId="0" applyNumberFormat="1" applyFont="1" applyFill="1" applyBorder="1" applyAlignment="1">
      <alignment vertical="center"/>
    </xf>
    <xf numFmtId="4" fontId="14" fillId="8" borderId="8" xfId="0" applyNumberFormat="1" applyFont="1" applyFill="1" applyBorder="1" applyAlignment="1">
      <alignment vertical="center"/>
    </xf>
    <xf numFmtId="0" fontId="14" fillId="8" borderId="59" xfId="0" applyFont="1" applyFill="1" applyBorder="1" applyAlignment="1">
      <alignment vertical="center" wrapText="1"/>
    </xf>
    <xf numFmtId="4" fontId="14" fillId="8" borderId="3" xfId="0" applyNumberFormat="1" applyFont="1" applyFill="1" applyBorder="1" applyAlignment="1">
      <alignment vertical="center"/>
    </xf>
    <xf numFmtId="4" fontId="14" fillId="8" borderId="43" xfId="0" applyNumberFormat="1" applyFont="1" applyFill="1" applyBorder="1" applyAlignment="1">
      <alignment vertical="center"/>
    </xf>
    <xf numFmtId="4" fontId="14" fillId="8" borderId="9" xfId="0" applyNumberFormat="1" applyFont="1" applyFill="1" applyBorder="1" applyAlignment="1">
      <alignment vertical="center"/>
    </xf>
    <xf numFmtId="0" fontId="18" fillId="8" borderId="56" xfId="0" applyFont="1" applyFill="1" applyBorder="1" applyAlignment="1">
      <alignment vertical="center" wrapText="1"/>
    </xf>
    <xf numFmtId="4" fontId="18" fillId="8" borderId="5" xfId="0" applyNumberFormat="1" applyFont="1" applyFill="1" applyBorder="1" applyAlignment="1">
      <alignment vertical="center"/>
    </xf>
    <xf numFmtId="4" fontId="18" fillId="8" borderId="16" xfId="0" applyNumberFormat="1" applyFont="1" applyFill="1" applyBorder="1" applyAlignment="1">
      <alignment vertical="center"/>
    </xf>
    <xf numFmtId="4" fontId="18" fillId="8" borderId="6" xfId="0" applyNumberFormat="1" applyFont="1" applyFill="1" applyBorder="1" applyAlignment="1">
      <alignment vertical="center"/>
    </xf>
    <xf numFmtId="164" fontId="14" fillId="8" borderId="12" xfId="0" applyNumberFormat="1" applyFont="1" applyFill="1" applyBorder="1" applyAlignment="1">
      <alignment horizontal="right" vertical="center"/>
    </xf>
    <xf numFmtId="164" fontId="14" fillId="8" borderId="11" xfId="0" applyNumberFormat="1" applyFont="1" applyFill="1" applyBorder="1" applyAlignment="1">
      <alignment horizontal="right" vertical="center"/>
    </xf>
    <xf numFmtId="164" fontId="14" fillId="8" borderId="10" xfId="0" applyNumberFormat="1" applyFont="1" applyFill="1" applyBorder="1" applyAlignment="1">
      <alignment horizontal="right" vertical="center"/>
    </xf>
    <xf numFmtId="0" fontId="14" fillId="7" borderId="54" xfId="0" applyFont="1" applyFill="1" applyBorder="1" applyAlignment="1">
      <alignment vertical="center" wrapText="1"/>
    </xf>
    <xf numFmtId="164" fontId="14" fillId="7" borderId="21" xfId="0" applyNumberFormat="1" applyFont="1" applyFill="1" applyBorder="1" applyAlignment="1">
      <alignment horizontal="right" vertical="center"/>
    </xf>
    <xf numFmtId="0" fontId="14" fillId="8" borderId="55" xfId="0" applyFont="1" applyFill="1" applyBorder="1" applyAlignment="1">
      <alignment vertical="center" wrapText="1"/>
    </xf>
    <xf numFmtId="164" fontId="14" fillId="8" borderId="62" xfId="0" applyNumberFormat="1" applyFont="1" applyFill="1" applyBorder="1" applyAlignment="1">
      <alignment horizontal="right" vertical="center"/>
    </xf>
    <xf numFmtId="164" fontId="14" fillId="8" borderId="22" xfId="0" applyNumberFormat="1" applyFont="1" applyFill="1" applyBorder="1" applyAlignment="1">
      <alignment horizontal="right" vertical="center"/>
    </xf>
    <xf numFmtId="164" fontId="14" fillId="8" borderId="26" xfId="0" applyNumberFormat="1" applyFont="1" applyFill="1" applyBorder="1" applyAlignment="1">
      <alignment horizontal="right" vertical="center"/>
    </xf>
    <xf numFmtId="167" fontId="12" fillId="0" borderId="0" xfId="0" applyNumberFormat="1" applyFont="1"/>
    <xf numFmtId="0" fontId="14" fillId="0" borderId="54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3" fontId="14" fillId="0" borderId="13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 wrapText="1"/>
    </xf>
    <xf numFmtId="3" fontId="24" fillId="0" borderId="13" xfId="0" applyNumberFormat="1" applyFont="1" applyBorder="1" applyAlignment="1">
      <alignment horizontal="right" vertical="center"/>
    </xf>
    <xf numFmtId="4" fontId="24" fillId="0" borderId="42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24" fillId="0" borderId="42" xfId="0" applyNumberFormat="1" applyFont="1" applyBorder="1" applyAlignment="1">
      <alignment vertical="center"/>
    </xf>
    <xf numFmtId="3" fontId="24" fillId="3" borderId="18" xfId="0" applyNumberFormat="1" applyFont="1" applyFill="1" applyBorder="1" applyAlignment="1">
      <alignment vertical="center"/>
    </xf>
    <xf numFmtId="164" fontId="34" fillId="0" borderId="25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vertical="center"/>
    </xf>
    <xf numFmtId="4" fontId="24" fillId="5" borderId="15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4" fontId="14" fillId="0" borderId="15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4" fontId="14" fillId="0" borderId="41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3" fontId="14" fillId="3" borderId="12" xfId="0" applyNumberFormat="1" applyFont="1" applyFill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0" fontId="24" fillId="5" borderId="22" xfId="0" applyFont="1" applyFill="1" applyBorder="1" applyAlignment="1">
      <alignment vertical="center"/>
    </xf>
    <xf numFmtId="3" fontId="24" fillId="0" borderId="2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vertical="center"/>
    </xf>
    <xf numFmtId="4" fontId="24" fillId="0" borderId="8" xfId="0" applyNumberFormat="1" applyFont="1" applyBorder="1" applyAlignment="1">
      <alignment vertical="center"/>
    </xf>
    <xf numFmtId="3" fontId="24" fillId="3" borderId="12" xfId="0" applyNumberFormat="1" applyFont="1" applyFill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3" fontId="14" fillId="3" borderId="11" xfId="0" applyNumberFormat="1" applyFont="1" applyFill="1" applyBorder="1" applyAlignment="1">
      <alignment vertical="center"/>
    </xf>
    <xf numFmtId="3" fontId="24" fillId="0" borderId="0" xfId="0" applyNumberFormat="1" applyFont="1"/>
    <xf numFmtId="3" fontId="18" fillId="3" borderId="61" xfId="15" applyNumberFormat="1" applyFont="1" applyFill="1" applyBorder="1" applyAlignment="1">
      <alignment horizontal="center" vertical="center" wrapText="1"/>
    </xf>
    <xf numFmtId="4" fontId="14" fillId="5" borderId="26" xfId="14" applyNumberFormat="1" applyFont="1" applyFill="1" applyBorder="1" applyAlignment="1">
      <alignment horizontal="right" vertical="center"/>
    </xf>
    <xf numFmtId="3" fontId="14" fillId="0" borderId="51" xfId="14" applyNumberFormat="1" applyFont="1" applyBorder="1" applyAlignment="1">
      <alignment horizontal="right" vertical="center"/>
    </xf>
    <xf numFmtId="3" fontId="14" fillId="0" borderId="43" xfId="14" applyNumberFormat="1" applyFont="1" applyBorder="1" applyAlignment="1">
      <alignment horizontal="right" vertical="center"/>
    </xf>
    <xf numFmtId="3" fontId="24" fillId="0" borderId="2" xfId="14" applyNumberFormat="1" applyFont="1" applyBorder="1" applyAlignment="1">
      <alignment horizontal="right"/>
    </xf>
    <xf numFmtId="3" fontId="24" fillId="0" borderId="8" xfId="14" applyNumberFormat="1" applyFont="1" applyBorder="1" applyAlignment="1">
      <alignment horizontal="right"/>
    </xf>
    <xf numFmtId="3" fontId="24" fillId="0" borderId="2" xfId="14" applyNumberFormat="1" applyFont="1" applyFill="1" applyBorder="1" applyAlignment="1">
      <alignment horizontal="right"/>
    </xf>
    <xf numFmtId="3" fontId="24" fillId="0" borderId="50" xfId="14" applyNumberFormat="1" applyFont="1" applyFill="1" applyBorder="1" applyAlignment="1">
      <alignment horizontal="right"/>
    </xf>
    <xf numFmtId="3" fontId="24" fillId="0" borderId="25" xfId="14" applyNumberFormat="1" applyFont="1" applyBorder="1" applyAlignment="1">
      <alignment horizontal="right"/>
    </xf>
    <xf numFmtId="3" fontId="18" fillId="9" borderId="30" xfId="15" applyNumberFormat="1" applyFont="1" applyFill="1" applyBorder="1" applyAlignment="1">
      <alignment horizontal="center" vertical="center" wrapText="1"/>
    </xf>
    <xf numFmtId="3" fontId="18" fillId="10" borderId="31" xfId="15" applyNumberFormat="1" applyFont="1" applyFill="1" applyBorder="1" applyAlignment="1">
      <alignment horizontal="center" vertical="center" wrapText="1"/>
    </xf>
    <xf numFmtId="3" fontId="18" fillId="11" borderId="44" xfId="15" applyNumberFormat="1" applyFont="1" applyFill="1" applyBorder="1" applyAlignment="1">
      <alignment horizontal="center" vertical="center" wrapText="1"/>
    </xf>
    <xf numFmtId="3" fontId="18" fillId="3" borderId="39" xfId="1" applyNumberFormat="1" applyFont="1" applyFill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 vertical="center"/>
    </xf>
    <xf numFmtId="2" fontId="17" fillId="0" borderId="0" xfId="0" applyNumberFormat="1" applyFont="1"/>
    <xf numFmtId="0" fontId="14" fillId="0" borderId="14" xfId="0" applyFont="1" applyBorder="1"/>
    <xf numFmtId="3" fontId="14" fillId="0" borderId="63" xfId="0" applyNumberFormat="1" applyFont="1" applyBorder="1"/>
    <xf numFmtId="0" fontId="14" fillId="0" borderId="62" xfId="0" applyFont="1" applyBorder="1" applyAlignment="1">
      <alignment wrapText="1"/>
    </xf>
    <xf numFmtId="3" fontId="17" fillId="0" borderId="68" xfId="0" applyNumberFormat="1" applyFont="1" applyBorder="1"/>
    <xf numFmtId="4" fontId="17" fillId="0" borderId="0" xfId="0" applyNumberFormat="1" applyFont="1"/>
    <xf numFmtId="3" fontId="14" fillId="0" borderId="69" xfId="0" applyNumberFormat="1" applyFont="1" applyBorder="1"/>
    <xf numFmtId="3" fontId="14" fillId="0" borderId="17" xfId="0" applyNumberFormat="1" applyFont="1" applyBorder="1"/>
    <xf numFmtId="3" fontId="14" fillId="0" borderId="73" xfId="0" applyNumberFormat="1" applyFont="1" applyBorder="1"/>
    <xf numFmtId="3" fontId="14" fillId="3" borderId="14" xfId="0" applyNumberFormat="1" applyFont="1" applyFill="1" applyBorder="1"/>
    <xf numFmtId="3" fontId="14" fillId="3" borderId="12" xfId="0" applyNumberFormat="1" applyFont="1" applyFill="1" applyBorder="1"/>
    <xf numFmtId="3" fontId="14" fillId="3" borderId="11" xfId="0" applyNumberFormat="1" applyFont="1" applyFill="1" applyBorder="1"/>
    <xf numFmtId="3" fontId="14" fillId="0" borderId="17" xfId="0" applyNumberFormat="1" applyFont="1" applyFill="1" applyBorder="1"/>
    <xf numFmtId="0" fontId="17" fillId="6" borderId="36" xfId="14" applyFont="1" applyFill="1" applyBorder="1" applyAlignment="1">
      <alignment vertical="center"/>
    </xf>
    <xf numFmtId="164" fontId="14" fillId="0" borderId="41" xfId="14" applyNumberFormat="1" applyFont="1" applyBorder="1" applyAlignment="1">
      <alignment horizontal="right" vertical="center" wrapText="1"/>
    </xf>
    <xf numFmtId="0" fontId="14" fillId="0" borderId="3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164" fontId="12" fillId="0" borderId="0" xfId="0" applyNumberFormat="1" applyFont="1" applyAlignment="1">
      <alignment horizontal="right"/>
    </xf>
    <xf numFmtId="4" fontId="29" fillId="0" borderId="0" xfId="0" applyNumberFormat="1" applyFont="1" applyFill="1" applyBorder="1" applyAlignment="1">
      <alignment vertical="center"/>
    </xf>
    <xf numFmtId="0" fontId="17" fillId="6" borderId="36" xfId="14" applyFont="1" applyFill="1" applyBorder="1" applyAlignment="1">
      <alignment vertical="center"/>
    </xf>
    <xf numFmtId="0" fontId="17" fillId="6" borderId="24" xfId="14" applyFont="1" applyFill="1" applyBorder="1" applyAlignment="1">
      <alignment vertical="center"/>
    </xf>
    <xf numFmtId="0" fontId="14" fillId="0" borderId="3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0" fontId="14" fillId="0" borderId="3" xfId="14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right"/>
    </xf>
    <xf numFmtId="4" fontId="1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/>
    <xf numFmtId="4" fontId="28" fillId="0" borderId="0" xfId="0" applyNumberFormat="1" applyFont="1" applyFill="1" applyAlignment="1"/>
    <xf numFmtId="3" fontId="14" fillId="0" borderId="57" xfId="0" applyNumberFormat="1" applyFont="1" applyBorder="1"/>
    <xf numFmtId="3" fontId="17" fillId="6" borderId="5" xfId="0" applyNumberFormat="1" applyFont="1" applyFill="1" applyBorder="1"/>
    <xf numFmtId="3" fontId="17" fillId="6" borderId="24" xfId="0" applyNumberFormat="1" applyFont="1" applyFill="1" applyBorder="1"/>
    <xf numFmtId="3" fontId="14" fillId="0" borderId="0" xfId="14" applyNumberFormat="1" applyFont="1" applyAlignment="1">
      <alignment vertical="center"/>
    </xf>
    <xf numFmtId="4" fontId="24" fillId="5" borderId="22" xfId="14" applyNumberFormat="1" applyFont="1" applyFill="1" applyBorder="1" applyAlignment="1">
      <alignment vertical="center"/>
    </xf>
    <xf numFmtId="3" fontId="24" fillId="0" borderId="8" xfId="14" applyNumberFormat="1" applyFont="1" applyBorder="1" applyAlignment="1">
      <alignment vertical="center"/>
    </xf>
    <xf numFmtId="3" fontId="24" fillId="0" borderId="25" xfId="14" applyNumberFormat="1" applyFont="1" applyBorder="1" applyAlignment="1">
      <alignment vertical="center"/>
    </xf>
    <xf numFmtId="3" fontId="25" fillId="3" borderId="12" xfId="14" applyNumberFormat="1" applyFont="1" applyFill="1" applyBorder="1" applyAlignment="1">
      <alignment vertical="center"/>
    </xf>
    <xf numFmtId="165" fontId="24" fillId="0" borderId="50" xfId="15" applyNumberFormat="1" applyFont="1" applyBorder="1" applyAlignment="1">
      <alignment vertical="center"/>
    </xf>
    <xf numFmtId="165" fontId="24" fillId="0" borderId="41" xfId="14" applyNumberFormat="1" applyFont="1" applyBorder="1" applyAlignment="1">
      <alignment vertical="center" wrapText="1"/>
    </xf>
    <xf numFmtId="4" fontId="14" fillId="0" borderId="43" xfId="0" applyNumberFormat="1" applyFont="1" applyBorder="1"/>
    <xf numFmtId="4" fontId="14" fillId="0" borderId="23" xfId="0" applyNumberFormat="1" applyFont="1" applyFill="1" applyBorder="1" applyAlignment="1">
      <alignment horizontal="right" vertical="center"/>
    </xf>
    <xf numFmtId="3" fontId="14" fillId="6" borderId="31" xfId="1" applyNumberFormat="1" applyFont="1" applyFill="1" applyBorder="1" applyAlignment="1">
      <alignment horizontal="center" vertical="center" wrapText="1"/>
    </xf>
    <xf numFmtId="4" fontId="14" fillId="6" borderId="30" xfId="1" applyNumberFormat="1" applyFont="1" applyFill="1" applyBorder="1" applyAlignment="1">
      <alignment horizontal="center" vertical="center" wrapText="1"/>
    </xf>
    <xf numFmtId="4" fontId="14" fillId="6" borderId="68" xfId="1" applyNumberFormat="1" applyFont="1" applyFill="1" applyBorder="1" applyAlignment="1">
      <alignment horizontal="center" vertical="center" wrapText="1"/>
    </xf>
    <xf numFmtId="4" fontId="12" fillId="0" borderId="0" xfId="14" applyNumberFormat="1" applyFont="1" applyAlignment="1">
      <alignment horizontal="left" wrapText="1"/>
    </xf>
    <xf numFmtId="4" fontId="26" fillId="0" borderId="0" xfId="14" applyNumberFormat="1" applyFont="1"/>
    <xf numFmtId="4" fontId="16" fillId="0" borderId="0" xfId="14" applyNumberFormat="1" applyFont="1"/>
    <xf numFmtId="4" fontId="12" fillId="0" borderId="0" xfId="14" applyNumberFormat="1" applyFont="1" applyAlignment="1">
      <alignment horizontal="left"/>
    </xf>
    <xf numFmtId="4" fontId="17" fillId="0" borderId="0" xfId="14" applyNumberFormat="1" applyFont="1"/>
    <xf numFmtId="4" fontId="36" fillId="0" borderId="0" xfId="14" applyNumberFormat="1" applyFont="1" applyBorder="1" applyAlignment="1">
      <alignment horizontal="right"/>
    </xf>
    <xf numFmtId="4" fontId="14" fillId="6" borderId="44" xfId="1" applyNumberFormat="1" applyFont="1" applyFill="1" applyBorder="1" applyAlignment="1">
      <alignment horizontal="center" vertical="center" wrapText="1"/>
    </xf>
    <xf numFmtId="49" fontId="24" fillId="0" borderId="22" xfId="18" applyNumberFormat="1" applyFont="1" applyFill="1" applyBorder="1" applyAlignment="1">
      <alignment horizontal="left" vertical="center"/>
    </xf>
    <xf numFmtId="0" fontId="24" fillId="0" borderId="12" xfId="14" applyFont="1" applyBorder="1" applyAlignment="1">
      <alignment vertical="center"/>
    </xf>
    <xf numFmtId="3" fontId="24" fillId="5" borderId="3" xfId="14" applyNumberFormat="1" applyFont="1" applyFill="1" applyBorder="1" applyAlignment="1">
      <alignment vertical="center"/>
    </xf>
    <xf numFmtId="4" fontId="24" fillId="5" borderId="43" xfId="14" applyNumberFormat="1" applyFont="1" applyFill="1" applyBorder="1" applyAlignment="1">
      <alignment vertical="center"/>
    </xf>
    <xf numFmtId="4" fontId="24" fillId="5" borderId="9" xfId="14" applyNumberFormat="1" applyFont="1" applyFill="1" applyBorder="1" applyAlignment="1">
      <alignment horizontal="right" vertical="center"/>
    </xf>
    <xf numFmtId="4" fontId="24" fillId="5" borderId="43" xfId="14" applyNumberFormat="1" applyFont="1" applyFill="1" applyBorder="1" applyAlignment="1">
      <alignment horizontal="right" vertical="center"/>
    </xf>
    <xf numFmtId="49" fontId="24" fillId="0" borderId="23" xfId="18" applyNumberFormat="1" applyFont="1" applyFill="1" applyBorder="1" applyAlignment="1">
      <alignment horizontal="left" vertical="center"/>
    </xf>
    <xf numFmtId="0" fontId="24" fillId="0" borderId="61" xfId="14" applyFont="1" applyBorder="1" applyAlignment="1">
      <alignment vertical="center"/>
    </xf>
    <xf numFmtId="3" fontId="24" fillId="5" borderId="19" xfId="14" applyNumberFormat="1" applyFont="1" applyFill="1" applyBorder="1" applyAlignment="1">
      <alignment vertical="center"/>
    </xf>
    <xf numFmtId="4" fontId="24" fillId="5" borderId="46" xfId="14" applyNumberFormat="1" applyFont="1" applyFill="1" applyBorder="1" applyAlignment="1">
      <alignment vertical="center"/>
    </xf>
    <xf numFmtId="4" fontId="24" fillId="5" borderId="20" xfId="14" applyNumberFormat="1" applyFont="1" applyFill="1" applyBorder="1" applyAlignment="1">
      <alignment horizontal="right" vertical="center"/>
    </xf>
    <xf numFmtId="4" fontId="24" fillId="5" borderId="46" xfId="14" applyNumberFormat="1" applyFont="1" applyFill="1" applyBorder="1" applyAlignment="1">
      <alignment horizontal="right" vertical="center"/>
    </xf>
    <xf numFmtId="3" fontId="14" fillId="0" borderId="3" xfId="20" applyNumberFormat="1" applyFont="1" applyFill="1" applyBorder="1" applyAlignment="1">
      <alignment horizontal="right" vertical="center"/>
    </xf>
    <xf numFmtId="3" fontId="14" fillId="0" borderId="51" xfId="14" applyNumberFormat="1" applyFont="1" applyFill="1" applyBorder="1" applyAlignment="1">
      <alignment vertical="center"/>
    </xf>
    <xf numFmtId="4" fontId="14" fillId="0" borderId="37" xfId="14" applyNumberFormat="1" applyFont="1" applyFill="1" applyBorder="1" applyAlignment="1">
      <alignment horizontal="right" vertical="center"/>
    </xf>
    <xf numFmtId="3" fontId="14" fillId="0" borderId="43" xfId="14" applyNumberFormat="1" applyFont="1" applyFill="1" applyBorder="1" applyAlignment="1">
      <alignment horizontal="right" vertical="center"/>
    </xf>
    <xf numFmtId="4" fontId="17" fillId="6" borderId="36" xfId="14" applyNumberFormat="1" applyFont="1" applyFill="1" applyBorder="1" applyAlignment="1">
      <alignment horizontal="right" vertical="center"/>
    </xf>
    <xf numFmtId="49" fontId="12" fillId="0" borderId="60" xfId="14" applyNumberFormat="1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Border="1" applyAlignment="1"/>
    <xf numFmtId="0" fontId="17" fillId="6" borderId="36" xfId="14" applyFont="1" applyFill="1" applyBorder="1" applyAlignment="1">
      <alignment vertical="center"/>
    </xf>
    <xf numFmtId="0" fontId="17" fillId="6" borderId="24" xfId="14" applyFont="1" applyFill="1" applyBorder="1" applyAlignment="1">
      <alignment vertical="center"/>
    </xf>
    <xf numFmtId="0" fontId="14" fillId="0" borderId="3" xfId="14" applyFont="1" applyBorder="1" applyAlignment="1">
      <alignment horizontal="center" vertical="center"/>
    </xf>
    <xf numFmtId="168" fontId="17" fillId="0" borderId="0" xfId="0" applyNumberFormat="1" applyFont="1"/>
    <xf numFmtId="0" fontId="12" fillId="0" borderId="0" xfId="0" applyFont="1" applyAlignment="1">
      <alignment vertical="center"/>
    </xf>
    <xf numFmtId="3" fontId="18" fillId="3" borderId="61" xfId="15" applyNumberFormat="1" applyFont="1" applyFill="1" applyBorder="1" applyAlignment="1">
      <alignment horizontal="center" vertical="center" wrapText="1"/>
    </xf>
    <xf numFmtId="4" fontId="24" fillId="0" borderId="9" xfId="14" applyNumberFormat="1" applyFont="1" applyBorder="1" applyAlignment="1">
      <alignment vertical="center"/>
    </xf>
    <xf numFmtId="4" fontId="24" fillId="0" borderId="43" xfId="14" applyNumberFormat="1" applyFont="1" applyBorder="1" applyAlignment="1">
      <alignment vertical="center"/>
    </xf>
    <xf numFmtId="3" fontId="24" fillId="0" borderId="50" xfId="14" applyNumberFormat="1" applyFont="1" applyFill="1" applyBorder="1" applyAlignment="1">
      <alignment horizontal="right" vertical="center"/>
    </xf>
    <xf numFmtId="4" fontId="14" fillId="0" borderId="37" xfId="14" applyNumberFormat="1" applyFont="1" applyBorder="1" applyAlignment="1">
      <alignment horizontal="right" vertical="center"/>
    </xf>
    <xf numFmtId="3" fontId="14" fillId="0" borderId="9" xfId="14" applyNumberFormat="1" applyFont="1" applyBorder="1" applyAlignment="1">
      <alignment vertical="center"/>
    </xf>
    <xf numFmtId="165" fontId="14" fillId="0" borderId="3" xfId="15" applyNumberFormat="1" applyFont="1" applyBorder="1" applyAlignment="1">
      <alignment horizontal="right" vertical="center"/>
    </xf>
    <xf numFmtId="3" fontId="30" fillId="3" borderId="11" xfId="0" applyNumberFormat="1" applyFont="1" applyFill="1" applyBorder="1"/>
    <xf numFmtId="3" fontId="12" fillId="6" borderId="31" xfId="1" applyNumberFormat="1" applyFont="1" applyFill="1" applyBorder="1" applyAlignment="1">
      <alignment horizontal="center" vertical="center" wrapText="1"/>
    </xf>
    <xf numFmtId="4" fontId="12" fillId="6" borderId="30" xfId="1" applyNumberFormat="1" applyFont="1" applyFill="1" applyBorder="1" applyAlignment="1">
      <alignment horizontal="center" vertical="center" wrapText="1"/>
    </xf>
    <xf numFmtId="4" fontId="12" fillId="6" borderId="68" xfId="1" applyNumberFormat="1" applyFont="1" applyFill="1" applyBorder="1" applyAlignment="1">
      <alignment horizontal="center" vertical="center" wrapText="1"/>
    </xf>
    <xf numFmtId="3" fontId="13" fillId="0" borderId="0" xfId="15" applyNumberFormat="1" applyFont="1" applyBorder="1"/>
    <xf numFmtId="4" fontId="13" fillId="0" borderId="0" xfId="15" applyNumberFormat="1" applyFont="1" applyBorder="1"/>
    <xf numFmtId="4" fontId="12" fillId="0" borderId="0" xfId="14" applyNumberFormat="1" applyFont="1" applyBorder="1"/>
    <xf numFmtId="3" fontId="12" fillId="0" borderId="0" xfId="14" applyNumberFormat="1" applyFont="1" applyBorder="1"/>
    <xf numFmtId="3" fontId="13" fillId="0" borderId="0" xfId="14" applyNumberFormat="1" applyFont="1" applyBorder="1"/>
    <xf numFmtId="4" fontId="12" fillId="6" borderId="44" xfId="1" applyNumberFormat="1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/>
    </xf>
    <xf numFmtId="3" fontId="17" fillId="6" borderId="35" xfId="1" applyNumberFormat="1" applyFont="1" applyFill="1" applyBorder="1" applyAlignment="1">
      <alignment horizontal="center" vertical="center" wrapText="1"/>
    </xf>
    <xf numFmtId="3" fontId="17" fillId="6" borderId="74" xfId="1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17" fillId="0" borderId="36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0" fontId="14" fillId="0" borderId="58" xfId="1" applyFont="1" applyBorder="1" applyAlignment="1">
      <alignment vertical="center"/>
    </xf>
    <xf numFmtId="4" fontId="14" fillId="0" borderId="13" xfId="1" applyNumberFormat="1" applyFont="1" applyFill="1" applyBorder="1" applyAlignment="1">
      <alignment vertical="center"/>
    </xf>
    <xf numFmtId="4" fontId="14" fillId="0" borderId="42" xfId="1" applyNumberFormat="1" applyFont="1" applyFill="1" applyBorder="1" applyAlignment="1">
      <alignment vertical="center"/>
    </xf>
    <xf numFmtId="4" fontId="14" fillId="0" borderId="49" xfId="1" applyNumberFormat="1" applyFont="1" applyFill="1" applyBorder="1" applyAlignment="1">
      <alignment vertical="center"/>
    </xf>
    <xf numFmtId="4" fontId="14" fillId="0" borderId="15" xfId="1" applyNumberFormat="1" applyFont="1" applyFill="1" applyBorder="1" applyAlignment="1">
      <alignment vertical="center"/>
    </xf>
    <xf numFmtId="4" fontId="14" fillId="0" borderId="38" xfId="1" applyNumberFormat="1" applyFont="1" applyFill="1" applyBorder="1" applyAlignment="1">
      <alignment vertical="center"/>
    </xf>
    <xf numFmtId="4" fontId="18" fillId="3" borderId="18" xfId="1" applyNumberFormat="1" applyFont="1" applyFill="1" applyBorder="1" applyAlignment="1">
      <alignment vertical="center"/>
    </xf>
    <xf numFmtId="164" fontId="14" fillId="0" borderId="25" xfId="1" applyNumberFormat="1" applyFont="1" applyBorder="1" applyAlignment="1">
      <alignment vertical="center"/>
    </xf>
    <xf numFmtId="0" fontId="14" fillId="0" borderId="47" xfId="1" applyFont="1" applyBorder="1" applyAlignment="1">
      <alignment vertical="center"/>
    </xf>
    <xf numFmtId="4" fontId="14" fillId="0" borderId="2" xfId="1" applyNumberFormat="1" applyFont="1" applyFill="1" applyBorder="1" applyAlignment="1">
      <alignment vertical="center"/>
    </xf>
    <xf numFmtId="4" fontId="14" fillId="0" borderId="41" xfId="1" applyNumberFormat="1" applyFont="1" applyFill="1" applyBorder="1" applyAlignment="1">
      <alignment vertical="center"/>
    </xf>
    <xf numFmtId="4" fontId="14" fillId="0" borderId="50" xfId="1" applyNumberFormat="1" applyFont="1" applyFill="1" applyBorder="1" applyAlignment="1">
      <alignment vertical="center"/>
    </xf>
    <xf numFmtId="4" fontId="14" fillId="0" borderId="8" xfId="1" applyNumberFormat="1" applyFont="1" applyFill="1" applyBorder="1" applyAlignment="1">
      <alignment vertical="center"/>
    </xf>
    <xf numFmtId="4" fontId="18" fillId="3" borderId="12" xfId="1" applyNumberFormat="1" applyFont="1" applyFill="1" applyBorder="1" applyAlignment="1">
      <alignment vertical="center"/>
    </xf>
    <xf numFmtId="164" fontId="14" fillId="0" borderId="22" xfId="1" applyNumberFormat="1" applyFont="1" applyBorder="1" applyAlignment="1">
      <alignment vertical="center"/>
    </xf>
    <xf numFmtId="0" fontId="17" fillId="0" borderId="47" xfId="1" applyFont="1" applyBorder="1" applyAlignment="1">
      <alignment vertical="center"/>
    </xf>
    <xf numFmtId="4" fontId="17" fillId="0" borderId="2" xfId="1" applyNumberFormat="1" applyFont="1" applyFill="1" applyBorder="1" applyAlignment="1">
      <alignment vertical="center"/>
    </xf>
    <xf numFmtId="4" fontId="17" fillId="0" borderId="41" xfId="1" applyNumberFormat="1" applyFont="1" applyFill="1" applyBorder="1" applyAlignment="1">
      <alignment vertical="center"/>
    </xf>
    <xf numFmtId="4" fontId="17" fillId="0" borderId="50" xfId="1" applyNumberFormat="1" applyFont="1" applyFill="1" applyBorder="1" applyAlignment="1">
      <alignment vertical="center"/>
    </xf>
    <xf numFmtId="4" fontId="17" fillId="0" borderId="8" xfId="1" applyNumberFormat="1" applyFont="1" applyFill="1" applyBorder="1" applyAlignment="1">
      <alignment vertical="center"/>
    </xf>
    <xf numFmtId="4" fontId="17" fillId="0" borderId="17" xfId="1" applyNumberFormat="1" applyFont="1" applyFill="1" applyBorder="1" applyAlignment="1">
      <alignment vertical="center"/>
    </xf>
    <xf numFmtId="4" fontId="17" fillId="3" borderId="12" xfId="1" applyNumberFormat="1" applyFont="1" applyFill="1" applyBorder="1" applyAlignment="1">
      <alignment vertical="center"/>
    </xf>
    <xf numFmtId="164" fontId="17" fillId="0" borderId="22" xfId="1" applyNumberFormat="1" applyFont="1" applyBorder="1" applyAlignment="1">
      <alignment vertical="center"/>
    </xf>
    <xf numFmtId="4" fontId="14" fillId="0" borderId="17" xfId="1" applyNumberFormat="1" applyFont="1" applyFill="1" applyBorder="1" applyAlignment="1">
      <alignment vertical="center"/>
    </xf>
    <xf numFmtId="0" fontId="17" fillId="0" borderId="47" xfId="1" applyFont="1" applyBorder="1" applyAlignment="1">
      <alignment vertical="center" wrapText="1"/>
    </xf>
    <xf numFmtId="0" fontId="14" fillId="0" borderId="47" xfId="1" applyFont="1" applyBorder="1" applyAlignment="1">
      <alignment vertical="center" wrapText="1"/>
    </xf>
    <xf numFmtId="164" fontId="14" fillId="0" borderId="22" xfId="1" applyNumberFormat="1" applyFont="1" applyBorder="1" applyAlignment="1">
      <alignment horizontal="right" vertical="center"/>
    </xf>
    <xf numFmtId="0" fontId="17" fillId="0" borderId="60" xfId="1" applyFont="1" applyBorder="1" applyAlignment="1">
      <alignment vertical="center" wrapText="1"/>
    </xf>
    <xf numFmtId="4" fontId="17" fillId="0" borderId="4" xfId="1" applyNumberFormat="1" applyFont="1" applyFill="1" applyBorder="1" applyAlignment="1">
      <alignment vertical="center"/>
    </xf>
    <xf numFmtId="4" fontId="17" fillId="0" borderId="57" xfId="1" applyNumberFormat="1" applyFont="1" applyFill="1" applyBorder="1" applyAlignment="1">
      <alignment vertical="center"/>
    </xf>
    <xf numFmtId="4" fontId="17" fillId="0" borderId="72" xfId="1" applyNumberFormat="1" applyFont="1" applyFill="1" applyBorder="1" applyAlignment="1">
      <alignment vertical="center"/>
    </xf>
    <xf numFmtId="4" fontId="17" fillId="0" borderId="29" xfId="1" applyNumberFormat="1" applyFont="1" applyFill="1" applyBorder="1" applyAlignment="1">
      <alignment vertical="center"/>
    </xf>
    <xf numFmtId="4" fontId="17" fillId="0" borderId="80" xfId="1" applyNumberFormat="1" applyFont="1" applyFill="1" applyBorder="1" applyAlignment="1">
      <alignment vertical="center"/>
    </xf>
    <xf numFmtId="4" fontId="17" fillId="3" borderId="28" xfId="1" applyNumberFormat="1" applyFont="1" applyFill="1" applyBorder="1" applyAlignment="1">
      <alignment vertical="center"/>
    </xf>
    <xf numFmtId="164" fontId="17" fillId="0" borderId="27" xfId="1" applyNumberFormat="1" applyFont="1" applyBorder="1" applyAlignment="1">
      <alignment vertical="center"/>
    </xf>
    <xf numFmtId="0" fontId="17" fillId="0" borderId="56" xfId="1" applyFont="1" applyBorder="1" applyAlignment="1">
      <alignment vertical="center" wrapText="1"/>
    </xf>
    <xf numFmtId="4" fontId="17" fillId="0" borderId="5" xfId="1" applyNumberFormat="1" applyFont="1" applyFill="1" applyBorder="1" applyAlignment="1">
      <alignment vertical="center"/>
    </xf>
    <xf numFmtId="4" fontId="17" fillId="0" borderId="16" xfId="1" applyNumberFormat="1" applyFont="1" applyFill="1" applyBorder="1" applyAlignment="1">
      <alignment vertical="center"/>
    </xf>
    <xf numFmtId="4" fontId="17" fillId="0" borderId="48" xfId="1" applyNumberFormat="1" applyFont="1" applyFill="1" applyBorder="1" applyAlignment="1">
      <alignment vertical="center"/>
    </xf>
    <xf numFmtId="4" fontId="17" fillId="0" borderId="6" xfId="1" applyNumberFormat="1" applyFont="1" applyFill="1" applyBorder="1" applyAlignment="1">
      <alignment vertical="center"/>
    </xf>
    <xf numFmtId="4" fontId="17" fillId="0" borderId="36" xfId="1" applyNumberFormat="1" applyFont="1" applyFill="1" applyBorder="1" applyAlignment="1">
      <alignment vertical="center"/>
    </xf>
    <xf numFmtId="4" fontId="17" fillId="3" borderId="10" xfId="1" applyNumberFormat="1" applyFont="1" applyFill="1" applyBorder="1" applyAlignment="1">
      <alignment vertical="center"/>
    </xf>
    <xf numFmtId="164" fontId="17" fillId="0" borderId="24" xfId="1" applyNumberFormat="1" applyFont="1" applyBorder="1" applyAlignment="1">
      <alignment horizontal="right" vertical="center"/>
    </xf>
    <xf numFmtId="49" fontId="14" fillId="0" borderId="13" xfId="2" applyNumberFormat="1" applyFont="1" applyBorder="1" applyAlignment="1">
      <alignment horizontal="center" vertical="center"/>
    </xf>
    <xf numFmtId="0" fontId="14" fillId="0" borderId="38" xfId="2" applyFont="1" applyBorder="1" applyAlignment="1">
      <alignment vertical="center" wrapText="1"/>
    </xf>
    <xf numFmtId="3" fontId="14" fillId="0" borderId="13" xfId="2" applyNumberFormat="1" applyFont="1" applyFill="1" applyBorder="1" applyAlignment="1">
      <alignment vertical="center"/>
    </xf>
    <xf numFmtId="4" fontId="14" fillId="0" borderId="42" xfId="2" applyNumberFormat="1" applyFont="1" applyFill="1" applyBorder="1" applyAlignment="1">
      <alignment vertical="center"/>
    </xf>
    <xf numFmtId="4" fontId="14" fillId="0" borderId="15" xfId="2" applyNumberFormat="1" applyFont="1" applyFill="1" applyBorder="1" applyAlignment="1">
      <alignment vertical="center"/>
    </xf>
    <xf numFmtId="3" fontId="18" fillId="3" borderId="18" xfId="2" applyNumberFormat="1" applyFont="1" applyFill="1" applyBorder="1" applyAlignment="1">
      <alignment vertical="center"/>
    </xf>
    <xf numFmtId="165" fontId="14" fillId="0" borderId="25" xfId="0" applyNumberFormat="1" applyFont="1" applyBorder="1" applyAlignment="1">
      <alignment horizontal="right" vertical="center"/>
    </xf>
    <xf numFmtId="49" fontId="14" fillId="0" borderId="2" xfId="2" applyNumberFormat="1" applyFont="1" applyBorder="1" applyAlignment="1">
      <alignment horizontal="center" vertical="center"/>
    </xf>
    <xf numFmtId="0" fontId="14" fillId="0" borderId="17" xfId="2" applyFont="1" applyBorder="1" applyAlignment="1">
      <alignment vertical="center" wrapText="1"/>
    </xf>
    <xf numFmtId="3" fontId="14" fillId="0" borderId="2" xfId="2" applyNumberFormat="1" applyFont="1" applyFill="1" applyBorder="1" applyAlignment="1">
      <alignment vertical="center"/>
    </xf>
    <xf numFmtId="4" fontId="14" fillId="0" borderId="41" xfId="2" applyNumberFormat="1" applyFont="1" applyFill="1" applyBorder="1" applyAlignment="1">
      <alignment vertical="center"/>
    </xf>
    <xf numFmtId="4" fontId="14" fillId="0" borderId="8" xfId="2" applyNumberFormat="1" applyFont="1" applyFill="1" applyBorder="1" applyAlignment="1">
      <alignment vertical="center"/>
    </xf>
    <xf numFmtId="3" fontId="18" fillId="3" borderId="12" xfId="2" applyNumberFormat="1" applyFont="1" applyFill="1" applyBorder="1" applyAlignment="1">
      <alignment vertical="center"/>
    </xf>
    <xf numFmtId="165" fontId="14" fillId="0" borderId="22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4" xfId="2" applyNumberFormat="1" applyFont="1" applyBorder="1" applyAlignment="1">
      <alignment horizontal="center" vertical="center"/>
    </xf>
    <xf numFmtId="0" fontId="14" fillId="0" borderId="80" xfId="2" applyFont="1" applyBorder="1" applyAlignment="1">
      <alignment vertical="center" wrapText="1"/>
    </xf>
    <xf numFmtId="3" fontId="14" fillId="0" borderId="4" xfId="2" applyNumberFormat="1" applyFont="1" applyFill="1" applyBorder="1" applyAlignment="1">
      <alignment vertical="center"/>
    </xf>
    <xf numFmtId="4" fontId="14" fillId="0" borderId="57" xfId="2" applyNumberFormat="1" applyFont="1" applyFill="1" applyBorder="1" applyAlignment="1">
      <alignment vertical="center"/>
    </xf>
    <xf numFmtId="4" fontId="14" fillId="0" borderId="29" xfId="2" applyNumberFormat="1" applyFont="1" applyFill="1" applyBorder="1" applyAlignment="1">
      <alignment vertical="center"/>
    </xf>
    <xf numFmtId="3" fontId="18" fillId="3" borderId="28" xfId="2" applyNumberFormat="1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165" fontId="17" fillId="0" borderId="24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14" fillId="0" borderId="3" xfId="18" applyNumberFormat="1" applyFont="1" applyFill="1" applyBorder="1" applyAlignment="1">
      <alignment horizontal="center" vertical="center" wrapText="1" shrinkToFit="1"/>
    </xf>
    <xf numFmtId="49" fontId="14" fillId="0" borderId="13" xfId="14" applyNumberFormat="1" applyFont="1" applyFill="1" applyBorder="1" applyAlignment="1">
      <alignment horizontal="center" vertical="center" wrapText="1" shrinkToFit="1"/>
    </xf>
    <xf numFmtId="165" fontId="12" fillId="0" borderId="18" xfId="15" applyNumberFormat="1" applyFont="1" applyBorder="1" applyAlignment="1">
      <alignment horizontal="right" vertical="center"/>
    </xf>
    <xf numFmtId="165" fontId="12" fillId="0" borderId="25" xfId="14" applyNumberFormat="1" applyFont="1" applyBorder="1" applyAlignment="1">
      <alignment horizontal="right" vertical="center" wrapText="1"/>
    </xf>
    <xf numFmtId="3" fontId="24" fillId="5" borderId="20" xfId="14" applyNumberFormat="1" applyFont="1" applyFill="1" applyBorder="1" applyAlignment="1">
      <alignment horizontal="right" vertical="center"/>
    </xf>
    <xf numFmtId="3" fontId="24" fillId="5" borderId="44" xfId="14" applyNumberFormat="1" applyFont="1" applyFill="1" applyBorder="1" applyAlignment="1">
      <alignment horizontal="right" vertical="center"/>
    </xf>
    <xf numFmtId="3" fontId="25" fillId="3" borderId="62" xfId="14" applyNumberFormat="1" applyFont="1" applyFill="1" applyBorder="1" applyAlignment="1">
      <alignment horizontal="right" vertical="center"/>
    </xf>
    <xf numFmtId="49" fontId="24" fillId="0" borderId="20" xfId="18" applyNumberFormat="1" applyFont="1" applyFill="1" applyBorder="1" applyAlignment="1">
      <alignment horizontal="right" vertical="top"/>
    </xf>
    <xf numFmtId="3" fontId="18" fillId="0" borderId="15" xfId="14" applyNumberFormat="1" applyFont="1" applyBorder="1" applyAlignment="1">
      <alignment horizontal="right" vertical="center"/>
    </xf>
    <xf numFmtId="3" fontId="18" fillId="0" borderId="42" xfId="14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3" fontId="17" fillId="6" borderId="54" xfId="1" applyNumberFormat="1" applyFont="1" applyFill="1" applyBorder="1" applyAlignment="1">
      <alignment horizontal="center" vertical="center" wrapText="1"/>
    </xf>
    <xf numFmtId="3" fontId="17" fillId="6" borderId="21" xfId="1" applyNumberFormat="1" applyFont="1" applyFill="1" applyBorder="1" applyAlignment="1">
      <alignment horizontal="center" vertical="center" wrapText="1"/>
    </xf>
    <xf numFmtId="0" fontId="17" fillId="6" borderId="40" xfId="1" applyFont="1" applyFill="1" applyBorder="1" applyAlignment="1">
      <alignment horizontal="center" vertical="center"/>
    </xf>
    <xf numFmtId="0" fontId="17" fillId="6" borderId="61" xfId="1" applyFont="1" applyFill="1" applyBorder="1" applyAlignment="1">
      <alignment horizontal="center" vertical="center"/>
    </xf>
    <xf numFmtId="3" fontId="17" fillId="6" borderId="69" xfId="1" applyNumberFormat="1" applyFont="1" applyFill="1" applyBorder="1" applyAlignment="1">
      <alignment horizontal="center" vertical="center" wrapText="1"/>
    </xf>
    <xf numFmtId="3" fontId="17" fillId="3" borderId="40" xfId="1" applyNumberFormat="1" applyFont="1" applyFill="1" applyBorder="1" applyAlignment="1">
      <alignment horizontal="center" vertical="center" wrapText="1"/>
    </xf>
    <xf numFmtId="3" fontId="17" fillId="3" borderId="61" xfId="1" applyNumberFormat="1" applyFont="1" applyFill="1" applyBorder="1" applyAlignment="1">
      <alignment horizontal="center" vertical="center" wrapText="1"/>
    </xf>
    <xf numFmtId="0" fontId="12" fillId="6" borderId="40" xfId="1" applyFont="1" applyFill="1" applyBorder="1" applyAlignment="1">
      <alignment horizontal="center" vertical="center" wrapText="1"/>
    </xf>
    <xf numFmtId="0" fontId="12" fillId="6" borderId="61" xfId="1" applyFont="1" applyFill="1" applyBorder="1" applyAlignment="1">
      <alignment horizontal="center" vertical="center" wrapText="1"/>
    </xf>
    <xf numFmtId="4" fontId="17" fillId="6" borderId="56" xfId="0" applyNumberFormat="1" applyFont="1" applyFill="1" applyBorder="1" applyAlignment="1">
      <alignment horizontal="right" vertical="center"/>
    </xf>
    <xf numFmtId="4" fontId="17" fillId="6" borderId="24" xfId="0" applyNumberFormat="1" applyFont="1" applyFill="1" applyBorder="1" applyAlignment="1">
      <alignment horizontal="right" vertical="center"/>
    </xf>
    <xf numFmtId="4" fontId="14" fillId="7" borderId="54" xfId="0" applyNumberFormat="1" applyFont="1" applyFill="1" applyBorder="1" applyAlignment="1">
      <alignment vertical="center"/>
    </xf>
    <xf numFmtId="4" fontId="14" fillId="7" borderId="69" xfId="0" applyNumberFormat="1" applyFont="1" applyFill="1" applyBorder="1" applyAlignment="1">
      <alignment vertical="center"/>
    </xf>
    <xf numFmtId="4" fontId="14" fillId="7" borderId="21" xfId="0" applyNumberFormat="1" applyFont="1" applyFill="1" applyBorder="1" applyAlignment="1">
      <alignment vertical="center"/>
    </xf>
    <xf numFmtId="4" fontId="14" fillId="7" borderId="47" xfId="0" applyNumberFormat="1" applyFont="1" applyFill="1" applyBorder="1" applyAlignment="1">
      <alignment vertical="center"/>
    </xf>
    <xf numFmtId="4" fontId="14" fillId="7" borderId="70" xfId="0" applyNumberFormat="1" applyFont="1" applyFill="1" applyBorder="1" applyAlignment="1">
      <alignment vertical="center"/>
    </xf>
    <xf numFmtId="4" fontId="14" fillId="7" borderId="22" xfId="0" applyNumberFormat="1" applyFont="1" applyFill="1" applyBorder="1" applyAlignment="1">
      <alignment vertical="center"/>
    </xf>
    <xf numFmtId="4" fontId="14" fillId="7" borderId="55" xfId="0" applyNumberFormat="1" applyFont="1" applyFill="1" applyBorder="1" applyAlignment="1">
      <alignment vertical="center"/>
    </xf>
    <xf numFmtId="4" fontId="14" fillId="7" borderId="79" xfId="0" applyNumberFormat="1" applyFont="1" applyFill="1" applyBorder="1" applyAlignment="1">
      <alignment vertical="center"/>
    </xf>
    <xf numFmtId="4" fontId="14" fillId="7" borderId="23" xfId="0" applyNumberFormat="1" applyFont="1" applyFill="1" applyBorder="1" applyAlignment="1">
      <alignment vertical="center"/>
    </xf>
    <xf numFmtId="4" fontId="18" fillId="7" borderId="56" xfId="0" applyNumberFormat="1" applyFont="1" applyFill="1" applyBorder="1" applyAlignment="1">
      <alignment vertical="center"/>
    </xf>
    <xf numFmtId="4" fontId="18" fillId="7" borderId="65" xfId="0" applyNumberFormat="1" applyFont="1" applyFill="1" applyBorder="1" applyAlignment="1">
      <alignment vertical="center"/>
    </xf>
    <xf numFmtId="4" fontId="18" fillId="7" borderId="24" xfId="0" applyNumberFormat="1" applyFont="1" applyFill="1" applyBorder="1" applyAlignment="1">
      <alignment vertical="center"/>
    </xf>
    <xf numFmtId="4" fontId="14" fillId="8" borderId="47" xfId="0" applyNumberFormat="1" applyFont="1" applyFill="1" applyBorder="1" applyAlignment="1">
      <alignment vertical="center"/>
    </xf>
    <xf numFmtId="4" fontId="14" fillId="8" borderId="70" xfId="0" applyNumberFormat="1" applyFont="1" applyFill="1" applyBorder="1" applyAlignment="1">
      <alignment vertical="center"/>
    </xf>
    <xf numFmtId="4" fontId="14" fillId="8" borderId="22" xfId="0" applyNumberFormat="1" applyFont="1" applyFill="1" applyBorder="1" applyAlignment="1">
      <alignment vertical="center"/>
    </xf>
    <xf numFmtId="4" fontId="14" fillId="8" borderId="55" xfId="0" applyNumberFormat="1" applyFont="1" applyFill="1" applyBorder="1" applyAlignment="1">
      <alignment vertical="center"/>
    </xf>
    <xf numFmtId="4" fontId="14" fillId="8" borderId="79" xfId="0" applyNumberFormat="1" applyFont="1" applyFill="1" applyBorder="1" applyAlignment="1">
      <alignment vertical="center"/>
    </xf>
    <xf numFmtId="4" fontId="14" fillId="8" borderId="23" xfId="0" applyNumberFormat="1" applyFont="1" applyFill="1" applyBorder="1" applyAlignment="1">
      <alignment vertical="center"/>
    </xf>
    <xf numFmtId="4" fontId="18" fillId="8" borderId="56" xfId="0" applyNumberFormat="1" applyFont="1" applyFill="1" applyBorder="1" applyAlignment="1">
      <alignment vertical="center"/>
    </xf>
    <xf numFmtId="4" fontId="18" fillId="8" borderId="65" xfId="0" applyNumberFormat="1" applyFont="1" applyFill="1" applyBorder="1" applyAlignment="1">
      <alignment vertical="center"/>
    </xf>
    <xf numFmtId="4" fontId="18" fillId="8" borderId="24" xfId="0" applyNumberFormat="1" applyFont="1" applyFill="1" applyBorder="1" applyAlignment="1">
      <alignment vertical="center"/>
    </xf>
    <xf numFmtId="4" fontId="17" fillId="6" borderId="56" xfId="0" applyNumberFormat="1" applyFont="1" applyFill="1" applyBorder="1" applyAlignment="1">
      <alignment vertical="center"/>
    </xf>
    <xf numFmtId="4" fontId="17" fillId="6" borderId="65" xfId="0" applyNumberFormat="1" applyFont="1" applyFill="1" applyBorder="1" applyAlignment="1">
      <alignment vertical="center"/>
    </xf>
    <xf numFmtId="4" fontId="17" fillId="6" borderId="24" xfId="0" applyNumberFormat="1" applyFont="1" applyFill="1" applyBorder="1" applyAlignment="1">
      <alignment vertical="center"/>
    </xf>
    <xf numFmtId="4" fontId="14" fillId="8" borderId="55" xfId="0" applyNumberFormat="1" applyFont="1" applyFill="1" applyBorder="1" applyAlignment="1">
      <alignment horizontal="right" vertical="center"/>
    </xf>
    <xf numFmtId="4" fontId="14" fillId="8" borderId="23" xfId="0" applyNumberFormat="1" applyFont="1" applyFill="1" applyBorder="1" applyAlignment="1">
      <alignment horizontal="right" vertical="center"/>
    </xf>
    <xf numFmtId="4" fontId="18" fillId="8" borderId="56" xfId="0" applyNumberFormat="1" applyFont="1" applyFill="1" applyBorder="1" applyAlignment="1">
      <alignment horizontal="right" vertical="center"/>
    </xf>
    <xf numFmtId="4" fontId="18" fillId="8" borderId="24" xfId="0" applyNumberFormat="1" applyFont="1" applyFill="1" applyBorder="1" applyAlignment="1">
      <alignment horizontal="right" vertical="center"/>
    </xf>
    <xf numFmtId="4" fontId="14" fillId="7" borderId="54" xfId="0" applyNumberFormat="1" applyFont="1" applyFill="1" applyBorder="1" applyAlignment="1">
      <alignment horizontal="right" vertical="center"/>
    </xf>
    <xf numFmtId="4" fontId="14" fillId="7" borderId="21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22" xfId="0" applyNumberFormat="1" applyFont="1" applyFill="1" applyBorder="1" applyAlignment="1">
      <alignment horizontal="right" vertical="center"/>
    </xf>
    <xf numFmtId="4" fontId="14" fillId="7" borderId="55" xfId="0" applyNumberFormat="1" applyFont="1" applyFill="1" applyBorder="1" applyAlignment="1">
      <alignment horizontal="right" vertical="center"/>
    </xf>
    <xf numFmtId="4" fontId="14" fillId="7" borderId="23" xfId="0" applyNumberFormat="1" applyFont="1" applyFill="1" applyBorder="1" applyAlignment="1">
      <alignment horizontal="right" vertical="center"/>
    </xf>
    <xf numFmtId="4" fontId="18" fillId="7" borderId="56" xfId="0" applyNumberFormat="1" applyFont="1" applyFill="1" applyBorder="1" applyAlignment="1">
      <alignment horizontal="right" vertical="center"/>
    </xf>
    <xf numFmtId="4" fontId="18" fillId="7" borderId="24" xfId="0" applyNumberFormat="1" applyFont="1" applyFill="1" applyBorder="1" applyAlignment="1">
      <alignment horizontal="right" vertical="center"/>
    </xf>
    <xf numFmtId="4" fontId="14" fillId="8" borderId="47" xfId="0" applyNumberFormat="1" applyFont="1" applyFill="1" applyBorder="1" applyAlignment="1">
      <alignment horizontal="right" vertical="center"/>
    </xf>
    <xf numFmtId="4" fontId="14" fillId="8" borderId="22" xfId="0" applyNumberFormat="1" applyFont="1" applyFill="1" applyBorder="1" applyAlignment="1">
      <alignment horizontal="right" vertical="center"/>
    </xf>
    <xf numFmtId="0" fontId="17" fillId="8" borderId="54" xfId="0" applyFont="1" applyFill="1" applyBorder="1" applyAlignment="1">
      <alignment vertical="center" wrapText="1"/>
    </xf>
    <xf numFmtId="0" fontId="17" fillId="8" borderId="69" xfId="0" applyFont="1" applyFill="1" applyBorder="1" applyAlignment="1">
      <alignment vertical="center" wrapText="1"/>
    </xf>
    <xf numFmtId="0" fontId="17" fillId="8" borderId="21" xfId="0" applyFont="1" applyFill="1" applyBorder="1" applyAlignment="1">
      <alignment vertical="center" wrapText="1"/>
    </xf>
    <xf numFmtId="0" fontId="17" fillId="7" borderId="54" xfId="0" applyFont="1" applyFill="1" applyBorder="1" applyAlignment="1">
      <alignment vertical="center" wrapText="1"/>
    </xf>
    <xf numFmtId="0" fontId="17" fillId="7" borderId="69" xfId="0" applyFont="1" applyFill="1" applyBorder="1" applyAlignment="1">
      <alignment vertical="center" wrapText="1"/>
    </xf>
    <xf numFmtId="0" fontId="17" fillId="7" borderId="21" xfId="0" applyFont="1" applyFill="1" applyBorder="1" applyAlignment="1">
      <alignment vertical="center" wrapText="1"/>
    </xf>
    <xf numFmtId="164" fontId="13" fillId="3" borderId="40" xfId="1" applyNumberFormat="1" applyFont="1" applyFill="1" applyBorder="1" applyAlignment="1">
      <alignment horizontal="center" vertical="center" wrapText="1"/>
    </xf>
    <xf numFmtId="164" fontId="13" fillId="3" borderId="61" xfId="1" applyNumberFormat="1" applyFont="1" applyFill="1" applyBorder="1" applyAlignment="1">
      <alignment horizontal="center" vertical="center" wrapText="1"/>
    </xf>
    <xf numFmtId="3" fontId="17" fillId="6" borderId="53" xfId="1" applyNumberFormat="1" applyFont="1" applyFill="1" applyBorder="1" applyAlignment="1">
      <alignment horizontal="center" vertical="center" wrapText="1"/>
    </xf>
    <xf numFmtId="3" fontId="17" fillId="6" borderId="39" xfId="1" applyNumberFormat="1" applyFont="1" applyFill="1" applyBorder="1" applyAlignment="1">
      <alignment horizontal="center" vertical="center" wrapText="1"/>
    </xf>
    <xf numFmtId="3" fontId="17" fillId="6" borderId="33" xfId="1" applyNumberFormat="1" applyFont="1" applyFill="1" applyBorder="1" applyAlignment="1">
      <alignment horizontal="center" vertical="center" wrapText="1"/>
    </xf>
    <xf numFmtId="3" fontId="17" fillId="6" borderId="34" xfId="1" applyNumberFormat="1" applyFont="1" applyFill="1" applyBorder="1" applyAlignment="1">
      <alignment horizontal="center" vertical="center" wrapText="1"/>
    </xf>
    <xf numFmtId="3" fontId="17" fillId="6" borderId="76" xfId="1" applyNumberFormat="1" applyFont="1" applyFill="1" applyBorder="1" applyAlignment="1">
      <alignment horizontal="center" vertical="center" wrapText="1"/>
    </xf>
    <xf numFmtId="3" fontId="17" fillId="6" borderId="78" xfId="1" applyNumberFormat="1" applyFont="1" applyFill="1" applyBorder="1" applyAlignment="1">
      <alignment horizontal="center" vertical="center" wrapText="1"/>
    </xf>
    <xf numFmtId="49" fontId="15" fillId="0" borderId="0" xfId="2" applyNumberFormat="1" applyFont="1" applyAlignment="1">
      <alignment horizontal="left"/>
    </xf>
    <xf numFmtId="49" fontId="22" fillId="0" borderId="0" xfId="2" applyNumberFormat="1" applyFont="1" applyAlignment="1">
      <alignment horizontal="left"/>
    </xf>
    <xf numFmtId="0" fontId="17" fillId="6" borderId="32" xfId="1" applyFont="1" applyFill="1" applyBorder="1" applyAlignment="1">
      <alignment horizontal="center" vertical="center"/>
    </xf>
    <xf numFmtId="0" fontId="17" fillId="6" borderId="31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7" fillId="6" borderId="53" xfId="1" applyFont="1" applyFill="1" applyBorder="1" applyAlignment="1">
      <alignment horizontal="center" vertical="center"/>
    </xf>
    <xf numFmtId="0" fontId="17" fillId="6" borderId="39" xfId="1" applyFont="1" applyFill="1" applyBorder="1" applyAlignment="1">
      <alignment horizontal="center" vertical="center"/>
    </xf>
    <xf numFmtId="0" fontId="17" fillId="6" borderId="33" xfId="1" applyFont="1" applyFill="1" applyBorder="1" applyAlignment="1">
      <alignment horizontal="center" vertical="center"/>
    </xf>
    <xf numFmtId="0" fontId="17" fillId="6" borderId="34" xfId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top"/>
    </xf>
    <xf numFmtId="0" fontId="24" fillId="5" borderId="13" xfId="0" applyFont="1" applyFill="1" applyBorder="1" applyAlignment="1">
      <alignment horizontal="center" vertical="top"/>
    </xf>
    <xf numFmtId="0" fontId="24" fillId="0" borderId="3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left" wrapText="1"/>
    </xf>
    <xf numFmtId="0" fontId="17" fillId="0" borderId="65" xfId="0" applyFont="1" applyBorder="1" applyAlignment="1">
      <alignment horizontal="left" wrapText="1"/>
    </xf>
    <xf numFmtId="3" fontId="17" fillId="6" borderId="36" xfId="1" applyNumberFormat="1" applyFont="1" applyFill="1" applyBorder="1" applyAlignment="1">
      <alignment horizontal="center" vertical="center" wrapText="1"/>
    </xf>
    <xf numFmtId="3" fontId="17" fillId="6" borderId="24" xfId="1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22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center" vertical="top"/>
    </xf>
    <xf numFmtId="49" fontId="24" fillId="0" borderId="29" xfId="0" applyNumberFormat="1" applyFont="1" applyFill="1" applyBorder="1" applyAlignment="1">
      <alignment horizontal="center" vertical="top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0" fontId="14" fillId="0" borderId="3" xfId="14" applyFont="1" applyBorder="1" applyAlignment="1">
      <alignment horizontal="center" vertical="center"/>
    </xf>
    <xf numFmtId="0" fontId="14" fillId="0" borderId="4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0" fontId="14" fillId="6" borderId="74" xfId="15" applyFont="1" applyFill="1" applyBorder="1" applyAlignment="1">
      <alignment horizontal="center" vertical="center"/>
    </xf>
    <xf numFmtId="0" fontId="14" fillId="6" borderId="39" xfId="15" applyFont="1" applyFill="1" applyBorder="1" applyAlignment="1">
      <alignment horizontal="center" vertical="center"/>
    </xf>
    <xf numFmtId="0" fontId="14" fillId="6" borderId="68" xfId="15" applyFont="1" applyFill="1" applyBorder="1" applyAlignment="1">
      <alignment horizontal="center" vertical="center"/>
    </xf>
    <xf numFmtId="0" fontId="14" fillId="6" borderId="34" xfId="15" applyFont="1" applyFill="1" applyBorder="1" applyAlignment="1">
      <alignment horizontal="center" vertical="center"/>
    </xf>
    <xf numFmtId="0" fontId="15" fillId="0" borderId="0" xfId="14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4" fillId="6" borderId="32" xfId="15" applyFont="1" applyFill="1" applyBorder="1" applyAlignment="1">
      <alignment horizontal="center" vertical="center"/>
    </xf>
    <xf numFmtId="0" fontId="14" fillId="6" borderId="31" xfId="15" applyFont="1" applyFill="1" applyBorder="1" applyAlignment="1">
      <alignment horizontal="center" vertical="center"/>
    </xf>
    <xf numFmtId="1" fontId="16" fillId="6" borderId="54" xfId="15" applyNumberFormat="1" applyFont="1" applyFill="1" applyBorder="1" applyAlignment="1">
      <alignment horizontal="center" vertical="center" wrapText="1"/>
    </xf>
    <xf numFmtId="1" fontId="16" fillId="6" borderId="21" xfId="15" applyNumberFormat="1" applyFont="1" applyFill="1" applyBorder="1" applyAlignment="1">
      <alignment horizontal="center" vertical="center" wrapText="1"/>
    </xf>
    <xf numFmtId="1" fontId="16" fillId="6" borderId="69" xfId="15" applyNumberFormat="1" applyFont="1" applyFill="1" applyBorder="1" applyAlignment="1">
      <alignment horizontal="center" vertical="center" wrapText="1"/>
    </xf>
    <xf numFmtId="3" fontId="17" fillId="3" borderId="54" xfId="15" applyNumberFormat="1" applyFont="1" applyFill="1" applyBorder="1" applyAlignment="1">
      <alignment horizontal="center" vertical="center" wrapText="1"/>
    </xf>
    <xf numFmtId="3" fontId="17" fillId="3" borderId="69" xfId="15" applyNumberFormat="1" applyFont="1" applyFill="1" applyBorder="1" applyAlignment="1">
      <alignment horizontal="center" vertical="center" wrapText="1"/>
    </xf>
    <xf numFmtId="3" fontId="17" fillId="3" borderId="21" xfId="15" applyNumberFormat="1" applyFont="1" applyFill="1" applyBorder="1" applyAlignment="1">
      <alignment horizontal="center" vertical="center" wrapText="1"/>
    </xf>
    <xf numFmtId="165" fontId="12" fillId="6" borderId="32" xfId="15" applyNumberFormat="1" applyFont="1" applyFill="1" applyBorder="1" applyAlignment="1">
      <alignment horizontal="center" vertical="center" wrapText="1"/>
    </xf>
    <xf numFmtId="165" fontId="12" fillId="6" borderId="31" xfId="15" applyNumberFormat="1" applyFont="1" applyFill="1" applyBorder="1" applyAlignment="1">
      <alignment horizontal="center" vertical="center" wrapText="1"/>
    </xf>
    <xf numFmtId="165" fontId="12" fillId="6" borderId="39" xfId="15" applyNumberFormat="1" applyFont="1" applyFill="1" applyBorder="1" applyAlignment="1">
      <alignment horizontal="center" vertical="center" wrapText="1"/>
    </xf>
    <xf numFmtId="165" fontId="12" fillId="6" borderId="34" xfId="15" applyNumberFormat="1" applyFont="1" applyFill="1" applyBorder="1" applyAlignment="1">
      <alignment horizontal="center" vertical="center" wrapText="1"/>
    </xf>
    <xf numFmtId="0" fontId="14" fillId="0" borderId="17" xfId="14" applyFont="1" applyBorder="1" applyAlignment="1">
      <alignment vertical="center" wrapText="1"/>
    </xf>
    <xf numFmtId="0" fontId="14" fillId="0" borderId="22" xfId="14" applyFont="1" applyBorder="1" applyAlignment="1">
      <alignment vertical="center" wrapText="1"/>
    </xf>
    <xf numFmtId="0" fontId="14" fillId="0" borderId="75" xfId="15" applyFont="1" applyBorder="1" applyAlignment="1">
      <alignment vertical="center"/>
    </xf>
    <xf numFmtId="0" fontId="14" fillId="0" borderId="21" xfId="15" applyFont="1" applyBorder="1" applyAlignment="1">
      <alignment vertical="center"/>
    </xf>
    <xf numFmtId="0" fontId="14" fillId="0" borderId="17" xfId="14" applyFont="1" applyFill="1" applyBorder="1" applyAlignment="1">
      <alignment vertical="center" wrapText="1"/>
    </xf>
    <xf numFmtId="0" fontId="14" fillId="0" borderId="22" xfId="14" applyFont="1" applyFill="1" applyBorder="1" applyAlignment="1">
      <alignment vertical="center" wrapText="1"/>
    </xf>
    <xf numFmtId="0" fontId="17" fillId="6" borderId="36" xfId="14" applyFont="1" applyFill="1" applyBorder="1" applyAlignment="1">
      <alignment vertical="center"/>
    </xf>
    <xf numFmtId="0" fontId="17" fillId="6" borderId="24" xfId="14" applyFont="1" applyFill="1" applyBorder="1" applyAlignment="1">
      <alignment vertical="center"/>
    </xf>
    <xf numFmtId="0" fontId="24" fillId="0" borderId="9" xfId="14" applyFont="1" applyBorder="1" applyAlignment="1">
      <alignment horizontal="center" vertical="top"/>
    </xf>
    <xf numFmtId="0" fontId="24" fillId="0" borderId="15" xfId="14" applyFont="1" applyBorder="1" applyAlignment="1">
      <alignment horizontal="center" vertical="top"/>
    </xf>
    <xf numFmtId="0" fontId="24" fillId="0" borderId="9" xfId="14" applyFont="1" applyFill="1" applyBorder="1" applyAlignment="1">
      <alignment horizontal="center" vertical="top"/>
    </xf>
    <xf numFmtId="0" fontId="24" fillId="0" borderId="15" xfId="14" applyFont="1" applyFill="1" applyBorder="1" applyAlignment="1">
      <alignment horizontal="center" vertical="top"/>
    </xf>
    <xf numFmtId="0" fontId="14" fillId="0" borderId="32" xfId="14" applyFont="1" applyBorder="1" applyAlignment="1">
      <alignment horizontal="center" vertical="center"/>
    </xf>
    <xf numFmtId="0" fontId="14" fillId="0" borderId="75" xfId="14" applyFont="1" applyBorder="1" applyAlignment="1"/>
    <xf numFmtId="0" fontId="14" fillId="0" borderId="21" xfId="14" applyFont="1" applyBorder="1" applyAlignment="1"/>
    <xf numFmtId="0" fontId="14" fillId="0" borderId="37" xfId="14" applyFont="1" applyBorder="1" applyAlignment="1"/>
    <xf numFmtId="0" fontId="14" fillId="0" borderId="26" xfId="14" applyFont="1" applyBorder="1" applyAlignment="1"/>
    <xf numFmtId="0" fontId="17" fillId="6" borderId="36" xfId="14" applyFont="1" applyFill="1" applyBorder="1" applyAlignment="1"/>
    <xf numFmtId="0" fontId="17" fillId="6" borderId="24" xfId="14" applyFont="1" applyFill="1" applyBorder="1" applyAlignment="1"/>
    <xf numFmtId="0" fontId="24" fillId="0" borderId="29" xfId="14" applyFont="1" applyBorder="1" applyAlignment="1">
      <alignment horizontal="center" vertical="top"/>
    </xf>
    <xf numFmtId="0" fontId="14" fillId="0" borderId="17" xfId="14" applyFont="1" applyBorder="1" applyAlignment="1">
      <alignment wrapText="1"/>
    </xf>
    <xf numFmtId="0" fontId="14" fillId="0" borderId="22" xfId="14" applyFont="1" applyBorder="1" applyAlignment="1">
      <alignment wrapText="1"/>
    </xf>
    <xf numFmtId="0" fontId="15" fillId="0" borderId="0" xfId="14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5" borderId="17" xfId="14" applyFont="1" applyFill="1" applyBorder="1" applyAlignment="1">
      <alignment vertical="center" wrapText="1"/>
    </xf>
    <xf numFmtId="0" fontId="14" fillId="5" borderId="22" xfId="14" applyFont="1" applyFill="1" applyBorder="1" applyAlignment="1">
      <alignment vertical="center" wrapText="1"/>
    </xf>
    <xf numFmtId="0" fontId="14" fillId="5" borderId="3" xfId="14" applyFont="1" applyFill="1" applyBorder="1" applyAlignment="1">
      <alignment horizontal="center" vertical="center"/>
    </xf>
    <xf numFmtId="0" fontId="14" fillId="5" borderId="4" xfId="14" applyFont="1" applyFill="1" applyBorder="1" applyAlignment="1">
      <alignment horizontal="center" vertical="center"/>
    </xf>
    <xf numFmtId="0" fontId="14" fillId="5" borderId="13" xfId="14" applyFont="1" applyFill="1" applyBorder="1" applyAlignment="1">
      <alignment horizontal="center" vertical="center"/>
    </xf>
    <xf numFmtId="0" fontId="14" fillId="5" borderId="32" xfId="14" applyFont="1" applyFill="1" applyBorder="1" applyAlignment="1">
      <alignment horizontal="center" vertical="center"/>
    </xf>
    <xf numFmtId="0" fontId="14" fillId="5" borderId="75" xfId="14" applyFont="1" applyFill="1" applyBorder="1" applyAlignment="1">
      <alignment vertical="center" wrapText="1"/>
    </xf>
    <xf numFmtId="0" fontId="14" fillId="5" borderId="21" xfId="14" applyFont="1" applyFill="1" applyBorder="1" applyAlignment="1">
      <alignment vertical="center" wrapText="1"/>
    </xf>
    <xf numFmtId="0" fontId="24" fillId="5" borderId="9" xfId="14" applyFont="1" applyFill="1" applyBorder="1" applyAlignment="1">
      <alignment horizontal="center" vertical="top" wrapText="1"/>
    </xf>
    <xf numFmtId="0" fontId="24" fillId="5" borderId="29" xfId="14" applyFont="1" applyFill="1" applyBorder="1" applyAlignment="1">
      <alignment horizontal="center" vertical="top" wrapText="1"/>
    </xf>
    <xf numFmtId="0" fontId="24" fillId="5" borderId="15" xfId="14" applyFont="1" applyFill="1" applyBorder="1" applyAlignment="1">
      <alignment horizontal="center" vertical="top" wrapText="1"/>
    </xf>
    <xf numFmtId="49" fontId="14" fillId="0" borderId="17" xfId="18" applyNumberFormat="1" applyFont="1" applyFill="1" applyBorder="1" applyAlignment="1">
      <alignment vertical="center"/>
    </xf>
    <xf numFmtId="49" fontId="14" fillId="0" borderId="22" xfId="18" applyNumberFormat="1" applyFont="1" applyFill="1" applyBorder="1" applyAlignment="1">
      <alignment vertical="center"/>
    </xf>
    <xf numFmtId="49" fontId="24" fillId="0" borderId="3" xfId="18" applyNumberFormat="1" applyFont="1" applyFill="1" applyBorder="1" applyAlignment="1">
      <alignment horizontal="right" vertical="top"/>
    </xf>
    <xf numFmtId="49" fontId="24" fillId="0" borderId="4" xfId="18" applyNumberFormat="1" applyFont="1" applyFill="1" applyBorder="1" applyAlignment="1">
      <alignment horizontal="right" vertical="top"/>
    </xf>
    <xf numFmtId="49" fontId="24" fillId="0" borderId="31" xfId="18" applyNumberFormat="1" applyFont="1" applyFill="1" applyBorder="1" applyAlignment="1">
      <alignment horizontal="right" vertical="top"/>
    </xf>
    <xf numFmtId="49" fontId="18" fillId="0" borderId="54" xfId="14" applyNumberFormat="1" applyFont="1" applyFill="1" applyBorder="1" applyAlignment="1">
      <alignment vertical="center" wrapText="1"/>
    </xf>
    <xf numFmtId="49" fontId="18" fillId="0" borderId="69" xfId="14" applyNumberFormat="1" applyFont="1" applyFill="1" applyBorder="1" applyAlignment="1">
      <alignment vertical="center" wrapText="1"/>
    </xf>
    <xf numFmtId="49" fontId="18" fillId="0" borderId="21" xfId="14" applyNumberFormat="1" applyFont="1" applyFill="1" applyBorder="1" applyAlignment="1">
      <alignment vertical="center" wrapText="1"/>
    </xf>
    <xf numFmtId="49" fontId="14" fillId="0" borderId="32" xfId="18" applyNumberFormat="1" applyFont="1" applyFill="1" applyBorder="1" applyAlignment="1">
      <alignment horizontal="center" vertical="center" wrapText="1" shrinkToFit="1"/>
    </xf>
    <xf numFmtId="49" fontId="14" fillId="0" borderId="13" xfId="18" applyNumberFormat="1" applyFont="1" applyFill="1" applyBorder="1" applyAlignment="1">
      <alignment horizontal="center" vertical="center" wrapText="1" shrinkToFit="1"/>
    </xf>
    <xf numFmtId="49" fontId="14" fillId="0" borderId="47" xfId="14" applyNumberFormat="1" applyFont="1" applyFill="1" applyBorder="1" applyAlignment="1">
      <alignment horizontal="left" vertical="center" wrapText="1"/>
    </xf>
    <xf numFmtId="49" fontId="14" fillId="0" borderId="70" xfId="14" applyNumberFormat="1" applyFont="1" applyFill="1" applyBorder="1" applyAlignment="1">
      <alignment horizontal="left" vertical="center" wrapText="1"/>
    </xf>
    <xf numFmtId="49" fontId="14" fillId="0" borderId="22" xfId="14" applyNumberFormat="1" applyFont="1" applyFill="1" applyBorder="1" applyAlignment="1">
      <alignment horizontal="left" vertical="center" wrapText="1"/>
    </xf>
    <xf numFmtId="49" fontId="14" fillId="0" borderId="17" xfId="18" applyNumberFormat="1" applyFont="1" applyFill="1" applyBorder="1" applyAlignment="1">
      <alignment vertical="center" wrapText="1"/>
    </xf>
    <xf numFmtId="49" fontId="14" fillId="0" borderId="22" xfId="18" applyNumberFormat="1" applyFont="1" applyFill="1" applyBorder="1" applyAlignment="1">
      <alignment vertical="center" wrapText="1"/>
    </xf>
    <xf numFmtId="49" fontId="14" fillId="0" borderId="73" xfId="18" applyNumberFormat="1" applyFont="1" applyFill="1" applyBorder="1" applyAlignment="1">
      <alignment vertical="center" wrapText="1"/>
    </xf>
    <xf numFmtId="49" fontId="14" fillId="0" borderId="23" xfId="18" applyNumberFormat="1" applyFont="1" applyFill="1" applyBorder="1" applyAlignment="1">
      <alignment vertical="center" wrapText="1"/>
    </xf>
    <xf numFmtId="49" fontId="14" fillId="0" borderId="75" xfId="14" applyNumberFormat="1" applyFont="1" applyFill="1" applyBorder="1" applyAlignment="1">
      <alignment vertical="center"/>
    </xf>
    <xf numFmtId="49" fontId="14" fillId="0" borderId="21" xfId="14" applyNumberFormat="1" applyFont="1" applyFill="1" applyBorder="1" applyAlignment="1">
      <alignment vertical="center"/>
    </xf>
    <xf numFmtId="49" fontId="14" fillId="0" borderId="37" xfId="18" applyNumberFormat="1" applyFont="1" applyFill="1" applyBorder="1" applyAlignment="1">
      <alignment vertical="center" wrapText="1"/>
    </xf>
    <xf numFmtId="49" fontId="14" fillId="0" borderId="26" xfId="18" applyNumberFormat="1" applyFont="1" applyFill="1" applyBorder="1" applyAlignment="1">
      <alignment vertical="center" wrapText="1"/>
    </xf>
    <xf numFmtId="49" fontId="24" fillId="0" borderId="73" xfId="18" applyNumberFormat="1" applyFont="1" applyFill="1" applyBorder="1" applyAlignment="1">
      <alignment vertical="center" wrapText="1" shrinkToFit="1"/>
    </xf>
    <xf numFmtId="49" fontId="24" fillId="0" borderId="23" xfId="18" applyNumberFormat="1" applyFont="1" applyFill="1" applyBorder="1" applyAlignment="1">
      <alignment vertical="center" wrapText="1" shrinkToFit="1"/>
    </xf>
    <xf numFmtId="49" fontId="18" fillId="0" borderId="58" xfId="14" applyNumberFormat="1" applyFont="1" applyFill="1" applyBorder="1" applyAlignment="1">
      <alignment vertical="center" wrapText="1"/>
    </xf>
    <xf numFmtId="49" fontId="18" fillId="0" borderId="77" xfId="14" applyNumberFormat="1" applyFont="1" applyFill="1" applyBorder="1" applyAlignment="1">
      <alignment vertical="center" wrapText="1"/>
    </xf>
    <xf numFmtId="49" fontId="18" fillId="0" borderId="25" xfId="14" applyNumberFormat="1" applyFont="1" applyFill="1" applyBorder="1" applyAlignment="1">
      <alignment vertical="center" wrapText="1"/>
    </xf>
    <xf numFmtId="49" fontId="14" fillId="0" borderId="38" xfId="18" applyNumberFormat="1" applyFont="1" applyFill="1" applyBorder="1" applyAlignment="1">
      <alignment vertical="center"/>
    </xf>
    <xf numFmtId="49" fontId="14" fillId="0" borderId="25" xfId="18" applyNumberFormat="1" applyFont="1" applyFill="1" applyBorder="1" applyAlignment="1">
      <alignment vertical="center"/>
    </xf>
    <xf numFmtId="0" fontId="1" fillId="5" borderId="17" xfId="14" applyFont="1" applyFill="1" applyBorder="1" applyAlignment="1">
      <alignment vertical="center" wrapText="1"/>
    </xf>
    <xf numFmtId="0" fontId="1" fillId="5" borderId="22" xfId="14" applyFont="1" applyFill="1" applyBorder="1" applyAlignment="1">
      <alignment vertical="center" wrapText="1"/>
    </xf>
    <xf numFmtId="0" fontId="1" fillId="5" borderId="75" xfId="14" applyFont="1" applyFill="1" applyBorder="1" applyAlignment="1">
      <alignment vertical="center" wrapText="1"/>
    </xf>
    <xf numFmtId="0" fontId="1" fillId="5" borderId="21" xfId="14" applyFont="1" applyFill="1" applyBorder="1" applyAlignment="1">
      <alignment vertical="center" wrapText="1"/>
    </xf>
    <xf numFmtId="0" fontId="14" fillId="5" borderId="17" xfId="14" applyFont="1" applyFill="1" applyBorder="1" applyAlignment="1">
      <alignment vertical="center"/>
    </xf>
    <xf numFmtId="0" fontId="14" fillId="5" borderId="22" xfId="14" applyFont="1" applyFill="1" applyBorder="1" applyAlignment="1">
      <alignment vertical="center"/>
    </xf>
    <xf numFmtId="0" fontId="24" fillId="5" borderId="9" xfId="14" applyFont="1" applyFill="1" applyBorder="1" applyAlignment="1">
      <alignment horizontal="center" vertical="top"/>
    </xf>
    <xf numFmtId="0" fontId="24" fillId="5" borderId="29" xfId="14" applyFont="1" applyFill="1" applyBorder="1" applyAlignment="1">
      <alignment horizontal="center" vertical="top"/>
    </xf>
    <xf numFmtId="0" fontId="24" fillId="5" borderId="15" xfId="14" applyFont="1" applyFill="1" applyBorder="1" applyAlignment="1">
      <alignment horizontal="center" vertical="top"/>
    </xf>
    <xf numFmtId="0" fontId="1" fillId="0" borderId="0" xfId="17" applyFont="1" applyAlignment="1">
      <alignment horizontal="center"/>
    </xf>
    <xf numFmtId="0" fontId="1" fillId="0" borderId="0" xfId="17" applyFont="1" applyAlignment="1"/>
    <xf numFmtId="4" fontId="12" fillId="0" borderId="0" xfId="14" applyNumberFormat="1" applyFont="1" applyFill="1" applyAlignment="1">
      <alignment horizontal="center"/>
    </xf>
    <xf numFmtId="0" fontId="14" fillId="0" borderId="75" xfId="14" applyFont="1" applyBorder="1" applyAlignment="1">
      <alignment vertical="center" wrapText="1"/>
    </xf>
    <xf numFmtId="0" fontId="14" fillId="0" borderId="21" xfId="14" applyFont="1" applyBorder="1" applyAlignment="1">
      <alignment vertical="center" wrapText="1"/>
    </xf>
    <xf numFmtId="0" fontId="14" fillId="0" borderId="38" xfId="14" applyFont="1" applyBorder="1" applyAlignment="1">
      <alignment vertical="center" wrapText="1"/>
    </xf>
    <xf numFmtId="0" fontId="14" fillId="0" borderId="25" xfId="14" applyFont="1" applyBorder="1" applyAlignment="1">
      <alignment vertical="center" wrapText="1"/>
    </xf>
    <xf numFmtId="0" fontId="24" fillId="0" borderId="9" xfId="14" applyFont="1" applyBorder="1" applyAlignment="1">
      <alignment horizontal="center" vertical="top" wrapText="1"/>
    </xf>
    <xf numFmtId="0" fontId="24" fillId="0" borderId="29" xfId="14" applyFont="1" applyBorder="1" applyAlignment="1">
      <alignment horizontal="center" vertical="top" wrapText="1"/>
    </xf>
    <xf numFmtId="0" fontId="24" fillId="0" borderId="15" xfId="14" applyFont="1" applyBorder="1" applyAlignment="1">
      <alignment horizontal="center" vertical="top" wrapText="1"/>
    </xf>
    <xf numFmtId="0" fontId="14" fillId="0" borderId="37" xfId="14" applyFont="1" applyFill="1" applyBorder="1" applyAlignment="1">
      <alignment vertical="center" wrapText="1"/>
    </xf>
    <xf numFmtId="0" fontId="14" fillId="0" borderId="26" xfId="14" applyFont="1" applyFill="1" applyBorder="1" applyAlignment="1">
      <alignment vertical="center" wrapText="1"/>
    </xf>
    <xf numFmtId="0" fontId="14" fillId="0" borderId="3" xfId="14" applyFont="1" applyFill="1" applyBorder="1" applyAlignment="1">
      <alignment horizontal="center" vertical="center"/>
    </xf>
    <xf numFmtId="0" fontId="14" fillId="0" borderId="13" xfId="14" applyFont="1" applyFill="1" applyBorder="1" applyAlignment="1">
      <alignment horizontal="center" vertical="center"/>
    </xf>
    <xf numFmtId="0" fontId="14" fillId="0" borderId="75" xfId="14" applyFont="1" applyFill="1" applyBorder="1" applyAlignment="1">
      <alignment vertical="center" wrapText="1"/>
    </xf>
    <xf numFmtId="0" fontId="14" fillId="0" borderId="21" xfId="14" applyFont="1" applyFill="1" applyBorder="1" applyAlignment="1">
      <alignment vertical="center" wrapText="1"/>
    </xf>
    <xf numFmtId="0" fontId="14" fillId="0" borderId="38" xfId="14" applyFont="1" applyFill="1" applyBorder="1" applyAlignment="1">
      <alignment vertical="center" wrapText="1"/>
    </xf>
    <xf numFmtId="0" fontId="14" fillId="0" borderId="25" xfId="14" applyFont="1" applyFill="1" applyBorder="1" applyAlignment="1">
      <alignment vertical="center" wrapText="1"/>
    </xf>
    <xf numFmtId="0" fontId="14" fillId="0" borderId="4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top" wrapText="1"/>
    </xf>
    <xf numFmtId="0" fontId="24" fillId="0" borderId="29" xfId="14" applyFont="1" applyFill="1" applyBorder="1" applyAlignment="1">
      <alignment horizontal="center" vertical="top" wrapText="1"/>
    </xf>
    <xf numFmtId="0" fontId="24" fillId="0" borderId="15" xfId="14" applyFont="1" applyFill="1" applyBorder="1" applyAlignment="1">
      <alignment horizontal="center" vertical="top" wrapText="1"/>
    </xf>
    <xf numFmtId="0" fontId="14" fillId="0" borderId="17" xfId="14" applyFont="1" applyBorder="1" applyAlignment="1">
      <alignment vertical="center"/>
    </xf>
    <xf numFmtId="0" fontId="14" fillId="0" borderId="22" xfId="14" applyFont="1" applyBorder="1" applyAlignment="1">
      <alignment vertical="center"/>
    </xf>
    <xf numFmtId="0" fontId="14" fillId="0" borderId="74" xfId="14" applyFont="1" applyBorder="1" applyAlignment="1">
      <alignment vertical="center"/>
    </xf>
    <xf numFmtId="0" fontId="14" fillId="0" borderId="39" xfId="14" applyFont="1" applyBorder="1" applyAlignment="1">
      <alignment vertical="center"/>
    </xf>
    <xf numFmtId="0" fontId="14" fillId="0" borderId="17" xfId="19" applyFont="1" applyBorder="1" applyAlignment="1">
      <alignment vertical="center" wrapText="1"/>
    </xf>
    <xf numFmtId="0" fontId="14" fillId="0" borderId="22" xfId="19" applyFont="1" applyBorder="1" applyAlignment="1">
      <alignment vertical="center" wrapText="1"/>
    </xf>
    <xf numFmtId="0" fontId="14" fillId="0" borderId="3" xfId="19" applyFont="1" applyBorder="1" applyAlignment="1">
      <alignment horizontal="center" vertical="center"/>
    </xf>
    <xf numFmtId="0" fontId="14" fillId="0" borderId="13" xfId="19" applyFont="1" applyBorder="1" applyAlignment="1">
      <alignment horizontal="center" vertical="center"/>
    </xf>
    <xf numFmtId="0" fontId="14" fillId="0" borderId="75" xfId="19" applyFont="1" applyBorder="1" applyAlignment="1">
      <alignment vertical="center"/>
    </xf>
    <xf numFmtId="0" fontId="14" fillId="0" borderId="21" xfId="19" applyFont="1" applyBorder="1" applyAlignment="1">
      <alignment vertical="center"/>
    </xf>
    <xf numFmtId="0" fontId="14" fillId="0" borderId="17" xfId="19" applyFont="1" applyBorder="1" applyAlignment="1">
      <alignment vertical="center"/>
    </xf>
    <xf numFmtId="0" fontId="14" fillId="0" borderId="22" xfId="19" applyFont="1" applyBorder="1" applyAlignment="1">
      <alignment vertical="center"/>
    </xf>
    <xf numFmtId="0" fontId="14" fillId="0" borderId="73" xfId="19" applyFont="1" applyBorder="1" applyAlignment="1">
      <alignment vertical="center"/>
    </xf>
    <xf numFmtId="0" fontId="14" fillId="0" borderId="23" xfId="19" applyFont="1" applyBorder="1" applyAlignment="1">
      <alignment vertical="center"/>
    </xf>
    <xf numFmtId="0" fontId="14" fillId="0" borderId="73" xfId="14" applyFont="1" applyBorder="1" applyAlignment="1">
      <alignment vertical="center"/>
    </xf>
    <xf numFmtId="0" fontId="14" fillId="0" borderId="23" xfId="14" applyFont="1" applyBorder="1" applyAlignment="1">
      <alignment vertical="center"/>
    </xf>
    <xf numFmtId="0" fontId="14" fillId="0" borderId="75" xfId="14" applyFont="1" applyBorder="1" applyAlignment="1">
      <alignment vertical="center"/>
    </xf>
    <xf numFmtId="0" fontId="14" fillId="0" borderId="21" xfId="14" applyFont="1" applyBorder="1" applyAlignment="1">
      <alignment vertical="center"/>
    </xf>
    <xf numFmtId="3" fontId="18" fillId="3" borderId="54" xfId="15" applyNumberFormat="1" applyFont="1" applyFill="1" applyBorder="1" applyAlignment="1">
      <alignment horizontal="center" vertical="center" wrapText="1"/>
    </xf>
    <xf numFmtId="3" fontId="18" fillId="3" borderId="69" xfId="15" applyNumberFormat="1" applyFont="1" applyFill="1" applyBorder="1" applyAlignment="1">
      <alignment horizontal="center" vertical="center" wrapText="1"/>
    </xf>
    <xf numFmtId="3" fontId="18" fillId="3" borderId="21" xfId="15" applyNumberFormat="1" applyFont="1" applyFill="1" applyBorder="1" applyAlignment="1">
      <alignment horizontal="center" vertical="center" wrapText="1"/>
    </xf>
    <xf numFmtId="165" fontId="12" fillId="6" borderId="52" xfId="15" applyNumberFormat="1" applyFont="1" applyFill="1" applyBorder="1" applyAlignment="1">
      <alignment horizontal="center" vertical="center" wrapText="1"/>
    </xf>
    <xf numFmtId="165" fontId="12" fillId="6" borderId="44" xfId="15" applyNumberFormat="1" applyFont="1" applyFill="1" applyBorder="1" applyAlignment="1">
      <alignment horizontal="center" vertical="center" wrapText="1"/>
    </xf>
    <xf numFmtId="1" fontId="14" fillId="6" borderId="54" xfId="15" applyNumberFormat="1" applyFont="1" applyFill="1" applyBorder="1" applyAlignment="1">
      <alignment horizontal="center" vertical="center" wrapText="1"/>
    </xf>
    <xf numFmtId="1" fontId="14" fillId="6" borderId="21" xfId="15" applyNumberFormat="1" applyFont="1" applyFill="1" applyBorder="1" applyAlignment="1">
      <alignment horizontal="center" vertical="center" wrapText="1"/>
    </xf>
    <xf numFmtId="1" fontId="14" fillId="6" borderId="69" xfId="1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3" fontId="18" fillId="6" borderId="1" xfId="1" applyNumberFormat="1" applyFont="1" applyFill="1" applyBorder="1" applyAlignment="1">
      <alignment horizontal="center" vertical="center" wrapText="1"/>
    </xf>
    <xf numFmtId="3" fontId="18" fillId="6" borderId="7" xfId="1" applyNumberFormat="1" applyFont="1" applyFill="1" applyBorder="1" applyAlignment="1">
      <alignment horizontal="center" vertical="center" wrapText="1"/>
    </xf>
    <xf numFmtId="3" fontId="18" fillId="6" borderId="45" xfId="1" applyNumberFormat="1" applyFont="1" applyFill="1" applyBorder="1" applyAlignment="1">
      <alignment horizontal="center" vertical="center" wrapText="1"/>
    </xf>
    <xf numFmtId="3" fontId="30" fillId="4" borderId="1" xfId="1" applyNumberFormat="1" applyFont="1" applyFill="1" applyBorder="1" applyAlignment="1">
      <alignment horizontal="center" vertical="center" wrapText="1"/>
    </xf>
    <xf numFmtId="3" fontId="30" fillId="4" borderId="7" xfId="1" applyNumberFormat="1" applyFont="1" applyFill="1" applyBorder="1" applyAlignment="1">
      <alignment horizontal="center" vertical="center" wrapText="1"/>
    </xf>
    <xf numFmtId="3" fontId="30" fillId="4" borderId="45" xfId="1" applyNumberFormat="1" applyFont="1" applyFill="1" applyBorder="1" applyAlignment="1">
      <alignment horizontal="center" vertical="center" wrapText="1"/>
    </xf>
    <xf numFmtId="3" fontId="30" fillId="4" borderId="63" xfId="1" applyNumberFormat="1" applyFont="1" applyFill="1" applyBorder="1" applyAlignment="1">
      <alignment horizontal="center" vertical="center" wrapText="1"/>
    </xf>
    <xf numFmtId="3" fontId="13" fillId="6" borderId="32" xfId="1" applyNumberFormat="1" applyFont="1" applyFill="1" applyBorder="1" applyAlignment="1">
      <alignment horizontal="center" vertical="center" wrapText="1"/>
    </xf>
    <xf numFmtId="3" fontId="13" fillId="6" borderId="4" xfId="1" applyNumberFormat="1" applyFont="1" applyFill="1" applyBorder="1" applyAlignment="1">
      <alignment horizontal="center" vertical="center" wrapText="1"/>
    </xf>
    <xf numFmtId="3" fontId="13" fillId="6" borderId="31" xfId="1" applyNumberFormat="1" applyFont="1" applyFill="1" applyBorder="1" applyAlignment="1">
      <alignment horizontal="center" vertical="center" wrapText="1"/>
    </xf>
    <xf numFmtId="3" fontId="13" fillId="6" borderId="35" xfId="1" applyNumberFormat="1" applyFont="1" applyFill="1" applyBorder="1" applyAlignment="1">
      <alignment horizontal="center" vertical="center" wrapText="1"/>
    </xf>
    <xf numFmtId="3" fontId="13" fillId="6" borderId="29" xfId="1" applyNumberFormat="1" applyFont="1" applyFill="1" applyBorder="1" applyAlignment="1">
      <alignment horizontal="center" vertical="center" wrapText="1"/>
    </xf>
    <xf numFmtId="3" fontId="13" fillId="6" borderId="30" xfId="1" applyNumberFormat="1" applyFont="1" applyFill="1" applyBorder="1" applyAlignment="1">
      <alignment horizontal="center" vertical="center" wrapText="1"/>
    </xf>
    <xf numFmtId="3" fontId="13" fillId="6" borderId="52" xfId="0" applyNumberFormat="1" applyFont="1" applyFill="1" applyBorder="1" applyAlignment="1">
      <alignment horizontal="center" vertical="center" wrapText="1"/>
    </xf>
    <xf numFmtId="3" fontId="13" fillId="6" borderId="57" xfId="0" applyNumberFormat="1" applyFont="1" applyFill="1" applyBorder="1" applyAlignment="1">
      <alignment horizontal="center" vertical="center" wrapText="1"/>
    </xf>
    <xf numFmtId="3" fontId="13" fillId="6" borderId="44" xfId="0" applyNumberFormat="1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3" fontId="14" fillId="2" borderId="47" xfId="1" applyNumberFormat="1" applyFont="1" applyFill="1" applyBorder="1" applyAlignment="1">
      <alignment horizontal="center" vertical="center" wrapText="1"/>
    </xf>
    <xf numFmtId="3" fontId="14" fillId="2" borderId="70" xfId="1" applyNumberFormat="1" applyFont="1" applyFill="1" applyBorder="1" applyAlignment="1">
      <alignment horizontal="center" vertical="center" wrapText="1"/>
    </xf>
    <xf numFmtId="3" fontId="18" fillId="3" borderId="11" xfId="15" applyNumberFormat="1" applyFont="1" applyFill="1" applyBorder="1" applyAlignment="1">
      <alignment horizontal="center" vertical="center" wrapText="1"/>
    </xf>
    <xf numFmtId="3" fontId="18" fillId="3" borderId="61" xfId="15" applyNumberFormat="1" applyFont="1" applyFill="1" applyBorder="1" applyAlignment="1">
      <alignment horizontal="center" vertical="center" wrapText="1"/>
    </xf>
    <xf numFmtId="3" fontId="14" fillId="2" borderId="5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7" fillId="6" borderId="40" xfId="0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</cellXfs>
  <cellStyles count="22">
    <cellStyle name="Čárka 2" xfId="8"/>
    <cellStyle name="Čárka 2 2" xfId="9"/>
    <cellStyle name="Čárka 2 2 2" xfId="10"/>
    <cellStyle name="Čárka 2 3" xfId="11"/>
    <cellStyle name="Čárka 3" xfId="12"/>
    <cellStyle name="Čárka 3 2" xfId="13"/>
    <cellStyle name="Normální" xfId="0" builtinId="0"/>
    <cellStyle name="Normální 2" xfId="3"/>
    <cellStyle name="Normální 3" xfId="4"/>
    <cellStyle name="Normální 4" xfId="5"/>
    <cellStyle name="Normální 5" xfId="6"/>
    <cellStyle name="Normální 6" xfId="7"/>
    <cellStyle name="Normální 7" xfId="16"/>
    <cellStyle name="Normální 7 2" xfId="17"/>
    <cellStyle name="normální_1.-7" xfId="21"/>
    <cellStyle name="normální_1.-7 2" xfId="15"/>
    <cellStyle name="normální_10" xfId="19"/>
    <cellStyle name="normální_čerp.-celek 1.-9.09" xfId="1"/>
    <cellStyle name="normální_čerp.-celek r.2009 2 2" xfId="18"/>
    <cellStyle name="normální_Fondy" xfId="2"/>
    <cellStyle name="normální_t 01" xfId="14"/>
    <cellStyle name="normální_t 01 2" xfId="20"/>
  </cellStyles>
  <dxfs count="0"/>
  <tableStyles count="0" defaultTableStyle="TableStyleMedium2" defaultPivotStyle="PivotStyleLight16"/>
  <colors>
    <mruColors>
      <color rgb="FFFF603B"/>
      <color rgb="FFCCECFF"/>
      <color rgb="FFFFFF66"/>
      <color rgb="FFFFCC00"/>
      <color rgb="FF99FF66"/>
      <color rgb="FF25FF88"/>
      <color rgb="FFFFDA65"/>
      <color rgb="FFFF8F8F"/>
      <color rgb="FFFFFFCC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3</xdr:row>
      <xdr:rowOff>76200</xdr:rowOff>
    </xdr:to>
    <xdr:pic>
      <xdr:nvPicPr>
        <xdr:cNvPr id="4" name="Obrázek 3" descr="stredoceskykrajzna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7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O28"/>
  <sheetViews>
    <sheetView tabSelected="1" zoomScaleNormal="100" workbookViewId="0">
      <selection activeCell="A5" sqref="A5"/>
    </sheetView>
  </sheetViews>
  <sheetFormatPr defaultRowHeight="12.75" x14ac:dyDescent="0.2"/>
  <cols>
    <col min="1" max="10" width="8.7109375" style="47" customWidth="1"/>
    <col min="11" max="16384" width="9.140625" style="47"/>
  </cols>
  <sheetData>
    <row r="18" spans="1:15" ht="31.5" x14ac:dyDescent="0.5">
      <c r="A18" s="1361" t="s">
        <v>387</v>
      </c>
      <c r="B18" s="1361"/>
      <c r="C18" s="1361"/>
      <c r="D18" s="1361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</row>
    <row r="19" spans="1:15" ht="28.5" x14ac:dyDescent="0.45">
      <c r="A19" s="843"/>
    </row>
    <row r="20" spans="1:15" ht="31.5" x14ac:dyDescent="0.5">
      <c r="A20" s="1361" t="s">
        <v>388</v>
      </c>
      <c r="B20" s="1361"/>
      <c r="C20" s="1361"/>
      <c r="D20" s="1361"/>
      <c r="E20" s="1361"/>
      <c r="F20" s="1361"/>
      <c r="G20" s="1361"/>
      <c r="H20" s="1361"/>
      <c r="I20" s="1361"/>
      <c r="J20" s="1361"/>
      <c r="K20" s="1361"/>
      <c r="L20" s="1361"/>
      <c r="M20" s="1361"/>
      <c r="N20" s="1361"/>
      <c r="O20" s="1361"/>
    </row>
    <row r="21" spans="1:15" ht="28.5" x14ac:dyDescent="0.45">
      <c r="A21" s="843"/>
    </row>
    <row r="28" spans="1:15" ht="23.25" x14ac:dyDescent="0.35">
      <c r="A28" s="1362" t="s">
        <v>484</v>
      </c>
      <c r="B28" s="1362"/>
      <c r="C28" s="1362"/>
      <c r="D28" s="1362"/>
      <c r="E28" s="1362"/>
      <c r="F28" s="1362"/>
      <c r="G28" s="1362"/>
      <c r="H28" s="1362"/>
      <c r="I28" s="1362"/>
      <c r="J28" s="1362"/>
      <c r="K28" s="1362"/>
      <c r="L28" s="1362"/>
      <c r="M28" s="1362"/>
      <c r="N28" s="1362"/>
      <c r="O28" s="1362"/>
    </row>
  </sheetData>
  <mergeCells count="3">
    <mergeCell ref="A18:O18"/>
    <mergeCell ref="A20:O20"/>
    <mergeCell ref="A28:O2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&amp;R&amp;"-,Obyčejné"&amp;12Příloha č.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1"/>
  <sheetViews>
    <sheetView topLeftCell="A7" workbookViewId="0">
      <selection activeCell="F34" sqref="F34"/>
    </sheetView>
  </sheetViews>
  <sheetFormatPr defaultRowHeight="12.75" x14ac:dyDescent="0.2"/>
  <cols>
    <col min="1" max="1" width="42.42578125" style="47" customWidth="1"/>
    <col min="2" max="2" width="14.7109375" style="71" customWidth="1"/>
    <col min="3" max="3" width="14.7109375" style="43" customWidth="1"/>
    <col min="4" max="4" width="14.7109375" style="71" customWidth="1"/>
    <col min="5" max="6" width="14.7109375" style="43" customWidth="1"/>
    <col min="7" max="7" width="14.7109375" style="71" customWidth="1"/>
    <col min="8" max="8" width="10.7109375" style="68" customWidth="1"/>
    <col min="9" max="9" width="66.85546875" style="47" hidden="1" customWidth="1"/>
    <col min="10" max="10" width="9.140625" style="47"/>
    <col min="11" max="11" width="9.42578125" style="47" bestFit="1" customWidth="1"/>
    <col min="12" max="16384" width="9.140625" style="47"/>
  </cols>
  <sheetData>
    <row r="1" spans="1:8" ht="15" customHeight="1" x14ac:dyDescent="0.2"/>
    <row r="2" spans="1:8" ht="24.95" customHeight="1" x14ac:dyDescent="0.35">
      <c r="A2" s="33" t="s">
        <v>150</v>
      </c>
    </row>
    <row r="3" spans="1:8" ht="15" customHeight="1" x14ac:dyDescent="0.2"/>
    <row r="4" spans="1:8" ht="20.100000000000001" customHeight="1" x14ac:dyDescent="0.3">
      <c r="A4" s="82" t="s">
        <v>379</v>
      </c>
    </row>
    <row r="5" spans="1:8" ht="15" customHeight="1" x14ac:dyDescent="0.3">
      <c r="A5" s="82"/>
    </row>
    <row r="6" spans="1:8" ht="15" customHeight="1" thickBot="1" x14ac:dyDescent="0.3">
      <c r="A6" s="60" t="s">
        <v>380</v>
      </c>
      <c r="G6" s="109"/>
      <c r="H6" s="1193" t="s">
        <v>0</v>
      </c>
    </row>
    <row r="7" spans="1:8" ht="15" customHeight="1" x14ac:dyDescent="0.2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165</v>
      </c>
      <c r="H7" s="1371" t="s">
        <v>151</v>
      </c>
    </row>
    <row r="8" spans="1:8" ht="30" customHeight="1" thickBot="1" x14ac:dyDescent="0.25">
      <c r="A8" s="1367"/>
      <c r="B8" s="1261" t="s">
        <v>169</v>
      </c>
      <c r="C8" s="1269" t="s">
        <v>170</v>
      </c>
      <c r="D8" s="1261" t="s">
        <v>169</v>
      </c>
      <c r="E8" s="1262" t="s">
        <v>470</v>
      </c>
      <c r="F8" s="1263" t="s">
        <v>471</v>
      </c>
      <c r="G8" s="1370"/>
      <c r="H8" s="1372"/>
    </row>
    <row r="9" spans="1:8" ht="15" customHeight="1" x14ac:dyDescent="0.25">
      <c r="A9" s="312" t="s">
        <v>31</v>
      </c>
      <c r="B9" s="684">
        <v>185207</v>
      </c>
      <c r="C9" s="827">
        <v>178467</v>
      </c>
      <c r="D9" s="339">
        <v>189685</v>
      </c>
      <c r="E9" s="826">
        <v>189685</v>
      </c>
      <c r="F9" s="826">
        <v>128702.39999999999</v>
      </c>
      <c r="G9" s="320">
        <v>168348</v>
      </c>
      <c r="H9" s="336">
        <f>+G9/D9*100</f>
        <v>88.751350923900148</v>
      </c>
    </row>
    <row r="10" spans="1:8" ht="15" customHeight="1" x14ac:dyDescent="0.25">
      <c r="A10" s="338" t="s">
        <v>130</v>
      </c>
      <c r="B10" s="688">
        <v>437688</v>
      </c>
      <c r="C10" s="828">
        <v>482688</v>
      </c>
      <c r="D10" s="339">
        <v>441415</v>
      </c>
      <c r="E10" s="826">
        <v>443235.73000000004</v>
      </c>
      <c r="F10" s="826">
        <v>322279.74999999994</v>
      </c>
      <c r="G10" s="328">
        <v>490415</v>
      </c>
      <c r="H10" s="336">
        <f t="shared" ref="H10:H15" si="0">+G10/D10*100</f>
        <v>111.10066490717352</v>
      </c>
    </row>
    <row r="11" spans="1:8" ht="15" customHeight="1" x14ac:dyDescent="0.25">
      <c r="A11" s="338" t="s">
        <v>32</v>
      </c>
      <c r="B11" s="688">
        <v>53960</v>
      </c>
      <c r="C11" s="828">
        <v>58929.5</v>
      </c>
      <c r="D11" s="339">
        <v>54664</v>
      </c>
      <c r="E11" s="826">
        <v>59102</v>
      </c>
      <c r="F11" s="826">
        <v>45435.96</v>
      </c>
      <c r="G11" s="328">
        <v>54664</v>
      </c>
      <c r="H11" s="336">
        <f t="shared" si="0"/>
        <v>100</v>
      </c>
    </row>
    <row r="12" spans="1:8" ht="15" customHeight="1" x14ac:dyDescent="0.25">
      <c r="A12" s="338" t="s">
        <v>33</v>
      </c>
      <c r="B12" s="688">
        <v>21502</v>
      </c>
      <c r="C12" s="828">
        <v>21567.75</v>
      </c>
      <c r="D12" s="339">
        <v>18145</v>
      </c>
      <c r="E12" s="826">
        <v>18299.25</v>
      </c>
      <c r="F12" s="826">
        <v>13608.63</v>
      </c>
      <c r="G12" s="328">
        <v>18504</v>
      </c>
      <c r="H12" s="336">
        <f t="shared" si="0"/>
        <v>101.9785064756131</v>
      </c>
    </row>
    <row r="13" spans="1:8" ht="15" customHeight="1" x14ac:dyDescent="0.25">
      <c r="A13" s="338" t="s">
        <v>34</v>
      </c>
      <c r="B13" s="688">
        <v>14324</v>
      </c>
      <c r="C13" s="828">
        <v>18005</v>
      </c>
      <c r="D13" s="339">
        <v>20344</v>
      </c>
      <c r="E13" s="826">
        <v>20344</v>
      </c>
      <c r="F13" s="826">
        <v>14866.45</v>
      </c>
      <c r="G13" s="328">
        <v>34698</v>
      </c>
      <c r="H13" s="336">
        <f t="shared" si="0"/>
        <v>170.55642941407788</v>
      </c>
    </row>
    <row r="14" spans="1:8" ht="15" customHeight="1" x14ac:dyDescent="0.25">
      <c r="A14" s="338" t="s">
        <v>35</v>
      </c>
      <c r="B14" s="688">
        <v>3800</v>
      </c>
      <c r="C14" s="828">
        <v>2954</v>
      </c>
      <c r="D14" s="339">
        <v>3235</v>
      </c>
      <c r="E14" s="826">
        <v>3235</v>
      </c>
      <c r="F14" s="826">
        <v>2426.25</v>
      </c>
      <c r="G14" s="328">
        <v>2815</v>
      </c>
      <c r="H14" s="336">
        <f t="shared" si="0"/>
        <v>87.017001545595051</v>
      </c>
    </row>
    <row r="15" spans="1:8" ht="15" customHeight="1" thickBot="1" x14ac:dyDescent="0.3">
      <c r="A15" s="338" t="s">
        <v>39</v>
      </c>
      <c r="B15" s="313">
        <v>84145</v>
      </c>
      <c r="C15" s="829">
        <v>85600.23</v>
      </c>
      <c r="D15" s="346">
        <v>85856</v>
      </c>
      <c r="E15" s="830">
        <v>85887.97</v>
      </c>
      <c r="F15" s="830">
        <v>85887.959999999992</v>
      </c>
      <c r="G15" s="825">
        <v>82914</v>
      </c>
      <c r="H15" s="336">
        <f t="shared" si="0"/>
        <v>96.573332090942969</v>
      </c>
    </row>
    <row r="16" spans="1:8" ht="30.75" customHeight="1" thickBot="1" x14ac:dyDescent="0.25">
      <c r="A16" s="1273" t="s">
        <v>464</v>
      </c>
      <c r="B16" s="1274">
        <f t="shared" ref="B16:G16" si="1">SUM(B9:B15)</f>
        <v>800626</v>
      </c>
      <c r="C16" s="1275">
        <f t="shared" si="1"/>
        <v>848211.48</v>
      </c>
      <c r="D16" s="1276">
        <f t="shared" si="1"/>
        <v>813344</v>
      </c>
      <c r="E16" s="1277">
        <f t="shared" si="1"/>
        <v>819788.95</v>
      </c>
      <c r="F16" s="1278">
        <f t="shared" si="1"/>
        <v>613207.39999999991</v>
      </c>
      <c r="G16" s="1063">
        <f t="shared" si="1"/>
        <v>852358</v>
      </c>
      <c r="H16" s="1279">
        <f>+G16/D16*100</f>
        <v>104.79674037061808</v>
      </c>
    </row>
    <row r="17" spans="1:10" ht="15" customHeight="1" x14ac:dyDescent="0.25">
      <c r="A17" s="67"/>
      <c r="B17" s="109"/>
      <c r="C17" s="110"/>
      <c r="D17" s="109"/>
      <c r="E17" s="110"/>
      <c r="F17" s="110"/>
      <c r="G17" s="47"/>
      <c r="H17" s="132"/>
    </row>
    <row r="18" spans="1:10" ht="15" customHeight="1" thickBot="1" x14ac:dyDescent="0.3">
      <c r="A18" s="60" t="s">
        <v>381</v>
      </c>
      <c r="H18" s="54" t="s">
        <v>0</v>
      </c>
    </row>
    <row r="19" spans="1:10" ht="15.95" customHeight="1" thickBot="1" x14ac:dyDescent="0.25">
      <c r="A19" s="1366" t="s">
        <v>1</v>
      </c>
      <c r="B19" s="1364" t="s">
        <v>164</v>
      </c>
      <c r="C19" s="1365"/>
      <c r="D19" s="1364" t="s">
        <v>132</v>
      </c>
      <c r="E19" s="1368"/>
      <c r="F19" s="1365"/>
      <c r="G19" s="1369" t="s">
        <v>149</v>
      </c>
      <c r="H19" s="1371" t="s">
        <v>151</v>
      </c>
      <c r="I19" s="126" t="s">
        <v>131</v>
      </c>
    </row>
    <row r="20" spans="1:10" ht="27" customHeight="1" thickBot="1" x14ac:dyDescent="0.25">
      <c r="A20" s="1367"/>
      <c r="B20" s="1261" t="s">
        <v>169</v>
      </c>
      <c r="C20" s="1269" t="s">
        <v>170</v>
      </c>
      <c r="D20" s="1261" t="s">
        <v>169</v>
      </c>
      <c r="E20" s="1262" t="s">
        <v>470</v>
      </c>
      <c r="F20" s="1263" t="s">
        <v>471</v>
      </c>
      <c r="G20" s="1370"/>
      <c r="H20" s="1372"/>
      <c r="I20" s="136"/>
    </row>
    <row r="21" spans="1:10" ht="15" customHeight="1" x14ac:dyDescent="0.25">
      <c r="A21" s="312" t="s">
        <v>31</v>
      </c>
      <c r="B21" s="684">
        <v>125357</v>
      </c>
      <c r="C21" s="827">
        <v>128034</v>
      </c>
      <c r="D21" s="339">
        <v>138737</v>
      </c>
      <c r="E21" s="826">
        <v>145673.85</v>
      </c>
      <c r="F21" s="826">
        <v>97155</v>
      </c>
      <c r="G21" s="324">
        <v>163015</v>
      </c>
      <c r="H21" s="336">
        <f>+G21/D21*100</f>
        <v>117.49929723145232</v>
      </c>
      <c r="I21" s="343"/>
      <c r="J21" s="266"/>
    </row>
    <row r="22" spans="1:10" ht="15" customHeight="1" x14ac:dyDescent="0.25">
      <c r="A22" s="338" t="s">
        <v>130</v>
      </c>
      <c r="B22" s="688">
        <v>5500</v>
      </c>
      <c r="C22" s="828">
        <v>13664.2</v>
      </c>
      <c r="D22" s="339">
        <v>12800</v>
      </c>
      <c r="E22" s="826">
        <v>13496.45</v>
      </c>
      <c r="F22" s="826">
        <v>10802.94</v>
      </c>
      <c r="G22" s="328">
        <v>13440</v>
      </c>
      <c r="H22" s="336">
        <f t="shared" ref="H22:H27" si="2">+G22/D22*100</f>
        <v>105</v>
      </c>
      <c r="I22" s="343"/>
      <c r="J22" s="266"/>
    </row>
    <row r="23" spans="1:10" ht="15" customHeight="1" x14ac:dyDescent="0.25">
      <c r="A23" s="338" t="s">
        <v>32</v>
      </c>
      <c r="B23" s="688">
        <v>247345</v>
      </c>
      <c r="C23" s="828">
        <v>248966.00000000003</v>
      </c>
      <c r="D23" s="339">
        <v>247345</v>
      </c>
      <c r="E23" s="826">
        <v>262852.53999999998</v>
      </c>
      <c r="F23" s="826">
        <v>196919.49</v>
      </c>
      <c r="G23" s="328">
        <v>262853</v>
      </c>
      <c r="H23" s="336">
        <f t="shared" si="2"/>
        <v>106.26978511795267</v>
      </c>
      <c r="I23" s="343"/>
      <c r="J23" s="266"/>
    </row>
    <row r="24" spans="1:10" ht="15" customHeight="1" x14ac:dyDescent="0.25">
      <c r="A24" s="338" t="s">
        <v>33</v>
      </c>
      <c r="B24" s="688">
        <v>549064</v>
      </c>
      <c r="C24" s="828">
        <v>578583.03</v>
      </c>
      <c r="D24" s="339">
        <v>603741</v>
      </c>
      <c r="E24" s="826">
        <v>633928.05000000005</v>
      </c>
      <c r="F24" s="826">
        <v>476542.71</v>
      </c>
      <c r="G24" s="328">
        <v>635059</v>
      </c>
      <c r="H24" s="336">
        <f t="shared" si="2"/>
        <v>105.18732370337611</v>
      </c>
      <c r="I24" s="343"/>
      <c r="J24" s="266"/>
    </row>
    <row r="25" spans="1:10" ht="15" customHeight="1" x14ac:dyDescent="0.25">
      <c r="A25" s="338" t="s">
        <v>34</v>
      </c>
      <c r="B25" s="688">
        <v>9748</v>
      </c>
      <c r="C25" s="828">
        <v>11668</v>
      </c>
      <c r="D25" s="339">
        <v>9455</v>
      </c>
      <c r="E25" s="826">
        <v>18713.95</v>
      </c>
      <c r="F25" s="826">
        <v>10564.38</v>
      </c>
      <c r="G25" s="328">
        <v>18713</v>
      </c>
      <c r="H25" s="336">
        <f t="shared" si="2"/>
        <v>197.91644632469593</v>
      </c>
      <c r="I25" s="343"/>
      <c r="J25" s="266"/>
    </row>
    <row r="26" spans="1:10" ht="15" customHeight="1" x14ac:dyDescent="0.25">
      <c r="A26" s="338" t="s">
        <v>35</v>
      </c>
      <c r="B26" s="688">
        <v>15474</v>
      </c>
      <c r="C26" s="828">
        <v>16563</v>
      </c>
      <c r="D26" s="339">
        <v>17656</v>
      </c>
      <c r="E26" s="826">
        <v>18538.8</v>
      </c>
      <c r="F26" s="826">
        <v>14124.8</v>
      </c>
      <c r="G26" s="328">
        <v>18192</v>
      </c>
      <c r="H26" s="336">
        <f t="shared" si="2"/>
        <v>103.03579519710013</v>
      </c>
      <c r="I26" s="343"/>
      <c r="J26" s="266"/>
    </row>
    <row r="27" spans="1:10" ht="15" customHeight="1" thickBot="1" x14ac:dyDescent="0.3">
      <c r="A27" s="338" t="s">
        <v>39</v>
      </c>
      <c r="B27" s="313">
        <v>188599</v>
      </c>
      <c r="C27" s="829">
        <v>170087.00999999998</v>
      </c>
      <c r="D27" s="346">
        <v>190874</v>
      </c>
      <c r="E27" s="830">
        <v>206089.66999999998</v>
      </c>
      <c r="F27" s="830">
        <v>161974.37999999998</v>
      </c>
      <c r="G27" s="328">
        <v>208731</v>
      </c>
      <c r="H27" s="336">
        <f t="shared" si="2"/>
        <v>109.35538627576307</v>
      </c>
      <c r="I27" s="343"/>
      <c r="J27" s="266"/>
    </row>
    <row r="28" spans="1:10" s="60" customFormat="1" ht="30.75" customHeight="1" thickBot="1" x14ac:dyDescent="0.3">
      <c r="A28" s="1273" t="s">
        <v>383</v>
      </c>
      <c r="B28" s="1274">
        <f t="shared" ref="B28:G28" si="3">SUM(B21:B27)</f>
        <v>1141087</v>
      </c>
      <c r="C28" s="1275">
        <f t="shared" si="3"/>
        <v>1167565.24</v>
      </c>
      <c r="D28" s="1276">
        <f t="shared" si="3"/>
        <v>1220608</v>
      </c>
      <c r="E28" s="1277">
        <f t="shared" si="3"/>
        <v>1299293.31</v>
      </c>
      <c r="F28" s="1278">
        <f t="shared" si="3"/>
        <v>968083.70000000007</v>
      </c>
      <c r="G28" s="1063">
        <f t="shared" si="3"/>
        <v>1320003</v>
      </c>
      <c r="H28" s="1279">
        <f>+G28/D28*100</f>
        <v>108.14307296036074</v>
      </c>
      <c r="I28" s="131"/>
    </row>
    <row r="29" spans="1:10" ht="15.75" x14ac:dyDescent="0.25">
      <c r="H29" s="132"/>
    </row>
    <row r="30" spans="1:10" ht="16.5" thickBot="1" x14ac:dyDescent="0.3">
      <c r="A30" s="60" t="s">
        <v>382</v>
      </c>
      <c r="H30" s="1193" t="s">
        <v>0</v>
      </c>
    </row>
    <row r="31" spans="1:10" ht="15.75" customHeight="1" x14ac:dyDescent="0.2">
      <c r="A31" s="1366" t="s">
        <v>1</v>
      </c>
      <c r="B31" s="1364" t="s">
        <v>164</v>
      </c>
      <c r="C31" s="1365"/>
      <c r="D31" s="1364" t="s">
        <v>132</v>
      </c>
      <c r="E31" s="1368"/>
      <c r="F31" s="1365"/>
      <c r="G31" s="1369" t="s">
        <v>165</v>
      </c>
      <c r="H31" s="1371" t="s">
        <v>151</v>
      </c>
    </row>
    <row r="32" spans="1:10" ht="30" customHeight="1" thickBot="1" x14ac:dyDescent="0.25">
      <c r="A32" s="1367"/>
      <c r="B32" s="1261" t="s">
        <v>169</v>
      </c>
      <c r="C32" s="1269" t="s">
        <v>170</v>
      </c>
      <c r="D32" s="1261" t="s">
        <v>169</v>
      </c>
      <c r="E32" s="1262" t="s">
        <v>470</v>
      </c>
      <c r="F32" s="1263" t="s">
        <v>471</v>
      </c>
      <c r="G32" s="1370"/>
      <c r="H32" s="1372"/>
    </row>
    <row r="33" spans="1:11" ht="15" customHeight="1" x14ac:dyDescent="0.25">
      <c r="A33" s="312" t="s">
        <v>31</v>
      </c>
      <c r="B33" s="684">
        <v>1266877</v>
      </c>
      <c r="C33" s="827">
        <v>1639975</v>
      </c>
      <c r="D33" s="339">
        <v>1366877</v>
      </c>
      <c r="E33" s="826">
        <v>1475210.09</v>
      </c>
      <c r="F33" s="826">
        <v>980278.18</v>
      </c>
      <c r="G33" s="324">
        <v>1522775</v>
      </c>
      <c r="H33" s="336">
        <f>+G33/D33*100</f>
        <v>111.40541541045756</v>
      </c>
      <c r="K33" s="83"/>
    </row>
    <row r="34" spans="1:11" ht="15" customHeight="1" x14ac:dyDescent="0.25">
      <c r="A34" s="338" t="s">
        <v>130</v>
      </c>
      <c r="B34" s="688">
        <v>110000</v>
      </c>
      <c r="C34" s="828">
        <v>128142.20000000001</v>
      </c>
      <c r="D34" s="339">
        <v>111000</v>
      </c>
      <c r="E34" s="826">
        <v>129480.11</v>
      </c>
      <c r="F34" s="826">
        <v>63199.09</v>
      </c>
      <c r="G34" s="328">
        <v>101000</v>
      </c>
      <c r="H34" s="336">
        <f t="shared" ref="H34:H39" si="4">+G34/D34*100</f>
        <v>90.990990990990994</v>
      </c>
    </row>
    <row r="35" spans="1:11" ht="15" customHeight="1" x14ac:dyDescent="0.25">
      <c r="A35" s="338" t="s">
        <v>32</v>
      </c>
      <c r="B35" s="688">
        <v>18460</v>
      </c>
      <c r="C35" s="828">
        <v>34926.9018</v>
      </c>
      <c r="D35" s="339">
        <v>18460</v>
      </c>
      <c r="E35" s="826">
        <v>19904.14</v>
      </c>
      <c r="F35" s="826">
        <v>13709.87</v>
      </c>
      <c r="G35" s="328">
        <v>18460</v>
      </c>
      <c r="H35" s="336">
        <f t="shared" si="4"/>
        <v>100</v>
      </c>
    </row>
    <row r="36" spans="1:11" ht="15" customHeight="1" x14ac:dyDescent="0.25">
      <c r="A36" s="338" t="s">
        <v>33</v>
      </c>
      <c r="B36" s="688">
        <v>2315</v>
      </c>
      <c r="C36" s="828">
        <v>5621</v>
      </c>
      <c r="D36" s="339">
        <v>1757</v>
      </c>
      <c r="E36" s="826">
        <v>13951</v>
      </c>
      <c r="F36" s="826">
        <v>9417.6</v>
      </c>
      <c r="G36" s="328">
        <v>2476</v>
      </c>
      <c r="H36" s="336">
        <f t="shared" si="4"/>
        <v>140.92202618099031</v>
      </c>
    </row>
    <row r="37" spans="1:11" ht="15" customHeight="1" x14ac:dyDescent="0.25">
      <c r="A37" s="338" t="s">
        <v>34</v>
      </c>
      <c r="B37" s="688">
        <v>528</v>
      </c>
      <c r="C37" s="828">
        <v>528</v>
      </c>
      <c r="D37" s="339">
        <v>1471</v>
      </c>
      <c r="E37" s="826">
        <v>1471</v>
      </c>
      <c r="F37" s="826">
        <v>0</v>
      </c>
      <c r="G37" s="328">
        <v>1610</v>
      </c>
      <c r="H37" s="336">
        <f t="shared" si="4"/>
        <v>109.44935418082937</v>
      </c>
    </row>
    <row r="38" spans="1:11" ht="15" customHeight="1" x14ac:dyDescent="0.25">
      <c r="A38" s="338" t="s">
        <v>35</v>
      </c>
      <c r="B38" s="688">
        <v>50</v>
      </c>
      <c r="C38" s="828">
        <v>50</v>
      </c>
      <c r="D38" s="339">
        <v>70</v>
      </c>
      <c r="E38" s="826">
        <v>70</v>
      </c>
      <c r="F38" s="826">
        <v>52.49</v>
      </c>
      <c r="G38" s="328">
        <v>70</v>
      </c>
      <c r="H38" s="336">
        <f t="shared" si="4"/>
        <v>100</v>
      </c>
    </row>
    <row r="39" spans="1:11" ht="15" customHeight="1" thickBot="1" x14ac:dyDescent="0.3">
      <c r="A39" s="338" t="s">
        <v>39</v>
      </c>
      <c r="B39" s="711">
        <v>42408</v>
      </c>
      <c r="C39" s="831">
        <v>72296.81</v>
      </c>
      <c r="D39" s="346">
        <v>42938</v>
      </c>
      <c r="E39" s="830">
        <v>34855.93</v>
      </c>
      <c r="F39" s="830">
        <v>21709.919999999998</v>
      </c>
      <c r="G39" s="328">
        <v>44623</v>
      </c>
      <c r="H39" s="336">
        <f t="shared" si="4"/>
        <v>103.92426289067957</v>
      </c>
    </row>
    <row r="40" spans="1:11" ht="48" thickBot="1" x14ac:dyDescent="0.25">
      <c r="A40" s="1273" t="s">
        <v>384</v>
      </c>
      <c r="B40" s="1274">
        <f t="shared" ref="B40:G40" si="5">SUM(B33:B39)</f>
        <v>1440638</v>
      </c>
      <c r="C40" s="1275">
        <f t="shared" si="5"/>
        <v>1881539.9118000001</v>
      </c>
      <c r="D40" s="1276">
        <f t="shared" si="5"/>
        <v>1542573</v>
      </c>
      <c r="E40" s="1277">
        <f t="shared" si="5"/>
        <v>1674942.27</v>
      </c>
      <c r="F40" s="1278">
        <f t="shared" si="5"/>
        <v>1088367.1500000001</v>
      </c>
      <c r="G40" s="1063">
        <f t="shared" si="5"/>
        <v>1691014</v>
      </c>
      <c r="H40" s="1279">
        <f>+G40/D40*100</f>
        <v>109.62294815221063</v>
      </c>
    </row>
    <row r="42" spans="1:11" x14ac:dyDescent="0.2">
      <c r="J42" s="68"/>
    </row>
    <row r="43" spans="1:11" x14ac:dyDescent="0.2">
      <c r="J43" s="68"/>
    </row>
    <row r="44" spans="1:11" x14ac:dyDescent="0.2">
      <c r="J44" s="68"/>
    </row>
    <row r="45" spans="1:11" x14ac:dyDescent="0.2">
      <c r="J45" s="68"/>
    </row>
    <row r="46" spans="1:11" x14ac:dyDescent="0.2">
      <c r="J46" s="68"/>
    </row>
    <row r="47" spans="1:11" x14ac:dyDescent="0.2">
      <c r="J47" s="68"/>
    </row>
    <row r="48" spans="1:11" x14ac:dyDescent="0.2">
      <c r="J48" s="68"/>
    </row>
    <row r="49" spans="8:10" x14ac:dyDescent="0.2">
      <c r="H49" s="71"/>
      <c r="J49" s="68"/>
    </row>
    <row r="419" spans="1:8" x14ac:dyDescent="0.2">
      <c r="A419" s="89"/>
      <c r="B419" s="47"/>
      <c r="C419" s="47"/>
      <c r="D419" s="47"/>
      <c r="E419" s="47"/>
      <c r="F419" s="47"/>
      <c r="H419" s="47"/>
    </row>
    <row r="421" spans="1:8" x14ac:dyDescent="0.2">
      <c r="G421" s="47"/>
    </row>
  </sheetData>
  <mergeCells count="15">
    <mergeCell ref="G31:G32"/>
    <mergeCell ref="A7:A8"/>
    <mergeCell ref="B7:C7"/>
    <mergeCell ref="D7:F7"/>
    <mergeCell ref="H7:H8"/>
    <mergeCell ref="A31:A32"/>
    <mergeCell ref="B31:C31"/>
    <mergeCell ref="D31:F31"/>
    <mergeCell ref="H31:H32"/>
    <mergeCell ref="G7:G8"/>
    <mergeCell ref="A19:A20"/>
    <mergeCell ref="B19:C19"/>
    <mergeCell ref="D19:F19"/>
    <mergeCell ref="G19:G20"/>
    <mergeCell ref="H19:H20"/>
  </mergeCells>
  <pageMargins left="0.70866141732283472" right="0.70866141732283472" top="0.39370078740157483" bottom="0.3937007874015748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7"/>
  <sheetViews>
    <sheetView workbookViewId="0">
      <selection activeCell="B7" sqref="B7:C7"/>
    </sheetView>
  </sheetViews>
  <sheetFormatPr defaultRowHeight="12.75" x14ac:dyDescent="0.2"/>
  <cols>
    <col min="1" max="1" width="42.42578125" style="47" customWidth="1"/>
    <col min="2" max="2" width="14.7109375" style="71" customWidth="1"/>
    <col min="3" max="3" width="14.7109375" style="43" customWidth="1"/>
    <col min="4" max="4" width="14.7109375" style="71" customWidth="1"/>
    <col min="5" max="6" width="14.7109375" style="43" customWidth="1"/>
    <col min="7" max="7" width="14.7109375" style="71" customWidth="1"/>
    <col min="8" max="8" width="10.7109375" style="68" customWidth="1"/>
    <col min="9" max="9" width="66.85546875" style="47" hidden="1" customWidth="1"/>
    <col min="10" max="16384" width="9.140625" style="47"/>
  </cols>
  <sheetData>
    <row r="1" spans="1:10" ht="15" customHeight="1" x14ac:dyDescent="0.2"/>
    <row r="2" spans="1:10" ht="24.95" customHeight="1" x14ac:dyDescent="0.35">
      <c r="A2" s="33" t="s">
        <v>150</v>
      </c>
    </row>
    <row r="3" spans="1:10" ht="15" customHeight="1" x14ac:dyDescent="0.2"/>
    <row r="4" spans="1:10" ht="20.100000000000001" customHeight="1" x14ac:dyDescent="0.3">
      <c r="A4" s="82" t="s">
        <v>41</v>
      </c>
    </row>
    <row r="5" spans="1:10" ht="15" customHeight="1" x14ac:dyDescent="0.3">
      <c r="A5" s="82"/>
    </row>
    <row r="6" spans="1:10" ht="15" customHeight="1" thickBot="1" x14ac:dyDescent="0.3">
      <c r="H6" s="54" t="s">
        <v>0</v>
      </c>
    </row>
    <row r="7" spans="1:10" ht="15.95" customHeight="1" thickBot="1" x14ac:dyDescent="0.25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165</v>
      </c>
      <c r="H7" s="1371" t="s">
        <v>151</v>
      </c>
      <c r="I7" s="126" t="s">
        <v>131</v>
      </c>
    </row>
    <row r="8" spans="1:10" ht="27" customHeight="1" thickBot="1" x14ac:dyDescent="0.25">
      <c r="A8" s="1367"/>
      <c r="B8" s="1216" t="s">
        <v>169</v>
      </c>
      <c r="C8" s="1225" t="s">
        <v>170</v>
      </c>
      <c r="D8" s="1216" t="s">
        <v>169</v>
      </c>
      <c r="E8" s="1217" t="s">
        <v>470</v>
      </c>
      <c r="F8" s="1218" t="s">
        <v>471</v>
      </c>
      <c r="G8" s="1370"/>
      <c r="H8" s="1372"/>
      <c r="I8" s="136"/>
    </row>
    <row r="9" spans="1:10" ht="20.25" customHeight="1" x14ac:dyDescent="0.25">
      <c r="A9" s="332" t="s">
        <v>134</v>
      </c>
      <c r="B9" s="333">
        <v>88273</v>
      </c>
      <c r="C9" s="310">
        <v>83772.73000000001</v>
      </c>
      <c r="D9" s="334">
        <v>88723</v>
      </c>
      <c r="E9" s="311">
        <v>94903.83</v>
      </c>
      <c r="F9" s="335">
        <v>46038.53</v>
      </c>
      <c r="G9" s="324">
        <v>89002</v>
      </c>
      <c r="H9" s="336">
        <f>G9/D9*100</f>
        <v>100.31446186445454</v>
      </c>
      <c r="I9" s="337"/>
      <c r="J9" s="266"/>
    </row>
    <row r="10" spans="1:10" ht="20.25" customHeight="1" x14ac:dyDescent="0.25">
      <c r="A10" s="338" t="s">
        <v>135</v>
      </c>
      <c r="B10" s="339">
        <v>70300</v>
      </c>
      <c r="C10" s="264">
        <v>65768.000000000015</v>
      </c>
      <c r="D10" s="340">
        <v>571844</v>
      </c>
      <c r="E10" s="265">
        <v>603102.96</v>
      </c>
      <c r="F10" s="341">
        <v>377919.43999999994</v>
      </c>
      <c r="G10" s="328">
        <v>592098</v>
      </c>
      <c r="H10" s="342">
        <f t="shared" ref="H10:H30" si="0">G10/D10*100</f>
        <v>103.54187505683367</v>
      </c>
      <c r="I10" s="343"/>
      <c r="J10" s="266"/>
    </row>
    <row r="11" spans="1:10" ht="20.25" customHeight="1" x14ac:dyDescent="0.25">
      <c r="A11" s="338" t="s">
        <v>30</v>
      </c>
      <c r="B11" s="339">
        <v>34425</v>
      </c>
      <c r="C11" s="264">
        <v>27186.713720000003</v>
      </c>
      <c r="D11" s="340">
        <v>37443</v>
      </c>
      <c r="E11" s="265">
        <v>42340.49</v>
      </c>
      <c r="F11" s="341">
        <v>25739.03</v>
      </c>
      <c r="G11" s="328">
        <v>48243</v>
      </c>
      <c r="H11" s="342">
        <f t="shared" si="0"/>
        <v>128.84384264081405</v>
      </c>
      <c r="I11" s="343"/>
      <c r="J11" s="266"/>
    </row>
    <row r="12" spans="1:10" ht="20.25" customHeight="1" x14ac:dyDescent="0.25">
      <c r="A12" s="312" t="s">
        <v>31</v>
      </c>
      <c r="B12" s="339">
        <v>4069308</v>
      </c>
      <c r="C12" s="264">
        <v>4395177.5585399996</v>
      </c>
      <c r="D12" s="340">
        <v>4380728</v>
      </c>
      <c r="E12" s="265">
        <v>4552824.46</v>
      </c>
      <c r="F12" s="341">
        <v>3107562.2499999995</v>
      </c>
      <c r="G12" s="328">
        <v>4841697</v>
      </c>
      <c r="H12" s="342">
        <f t="shared" si="0"/>
        <v>110.52265742132359</v>
      </c>
      <c r="I12" s="343"/>
      <c r="J12" s="266"/>
    </row>
    <row r="13" spans="1:10" ht="20.25" customHeight="1" x14ac:dyDescent="0.25">
      <c r="A13" s="338" t="s">
        <v>130</v>
      </c>
      <c r="B13" s="339">
        <v>629388</v>
      </c>
      <c r="C13" s="264">
        <v>680165.76</v>
      </c>
      <c r="D13" s="340">
        <v>632115</v>
      </c>
      <c r="E13" s="265">
        <v>654418.74999999988</v>
      </c>
      <c r="F13" s="341">
        <v>437314.15</v>
      </c>
      <c r="G13" s="328">
        <v>662755</v>
      </c>
      <c r="H13" s="342">
        <f t="shared" si="0"/>
        <v>104.84721925598981</v>
      </c>
      <c r="I13" s="343"/>
      <c r="J13" s="266"/>
    </row>
    <row r="14" spans="1:10" ht="20.25" customHeight="1" x14ac:dyDescent="0.25">
      <c r="A14" s="338" t="s">
        <v>32</v>
      </c>
      <c r="B14" s="339">
        <v>344465</v>
      </c>
      <c r="C14" s="264">
        <v>392903.47024</v>
      </c>
      <c r="D14" s="340">
        <v>380169</v>
      </c>
      <c r="E14" s="265">
        <v>439676.34</v>
      </c>
      <c r="F14" s="341">
        <v>292033.97000000003</v>
      </c>
      <c r="G14" s="328">
        <v>395886</v>
      </c>
      <c r="H14" s="342">
        <f t="shared" si="0"/>
        <v>104.13421399430254</v>
      </c>
      <c r="I14" s="343"/>
      <c r="J14" s="266"/>
    </row>
    <row r="15" spans="1:10" ht="20.25" customHeight="1" x14ac:dyDescent="0.25">
      <c r="A15" s="338" t="s">
        <v>33</v>
      </c>
      <c r="B15" s="339">
        <v>822081</v>
      </c>
      <c r="C15" s="264">
        <v>721703.23</v>
      </c>
      <c r="D15" s="340">
        <v>705382</v>
      </c>
      <c r="E15" s="265">
        <v>752632.17999999993</v>
      </c>
      <c r="F15" s="341">
        <v>576892.12</v>
      </c>
      <c r="G15" s="328">
        <v>735569</v>
      </c>
      <c r="H15" s="342">
        <f t="shared" si="0"/>
        <v>104.27952513673442</v>
      </c>
      <c r="I15" s="343"/>
      <c r="J15" s="266"/>
    </row>
    <row r="16" spans="1:10" ht="19.5" customHeight="1" x14ac:dyDescent="0.25">
      <c r="A16" s="338" t="s">
        <v>34</v>
      </c>
      <c r="B16" s="339">
        <v>88050</v>
      </c>
      <c r="C16" s="264">
        <v>109041.21000000002</v>
      </c>
      <c r="D16" s="340">
        <v>148349</v>
      </c>
      <c r="E16" s="265">
        <v>198384.01500000001</v>
      </c>
      <c r="F16" s="341">
        <v>127127.05999999998</v>
      </c>
      <c r="G16" s="328">
        <v>176608</v>
      </c>
      <c r="H16" s="342">
        <f t="shared" si="0"/>
        <v>119.04899931917303</v>
      </c>
      <c r="I16" s="343"/>
      <c r="J16" s="266"/>
    </row>
    <row r="17" spans="1:10" ht="20.25" customHeight="1" x14ac:dyDescent="0.25">
      <c r="A17" s="338" t="s">
        <v>35</v>
      </c>
      <c r="B17" s="339">
        <v>20324</v>
      </c>
      <c r="C17" s="264">
        <v>21677.81</v>
      </c>
      <c r="D17" s="340">
        <v>21961</v>
      </c>
      <c r="E17" s="265">
        <v>27169.98</v>
      </c>
      <c r="F17" s="341">
        <v>17096.63</v>
      </c>
      <c r="G17" s="328">
        <v>23094</v>
      </c>
      <c r="H17" s="342">
        <f t="shared" si="0"/>
        <v>105.15914575838987</v>
      </c>
      <c r="I17" s="343"/>
      <c r="J17" s="266"/>
    </row>
    <row r="18" spans="1:10" ht="20.25" customHeight="1" x14ac:dyDescent="0.25">
      <c r="A18" s="338" t="s">
        <v>36</v>
      </c>
      <c r="B18" s="339">
        <v>52075</v>
      </c>
      <c r="C18" s="264">
        <v>47760.46</v>
      </c>
      <c r="D18" s="340">
        <v>52075</v>
      </c>
      <c r="E18" s="265">
        <v>92941.57</v>
      </c>
      <c r="F18" s="341">
        <v>42861.91</v>
      </c>
      <c r="G18" s="328">
        <v>52075</v>
      </c>
      <c r="H18" s="342">
        <f t="shared" si="0"/>
        <v>100</v>
      </c>
      <c r="I18" s="343"/>
      <c r="J18" s="266"/>
    </row>
    <row r="19" spans="1:10" ht="20.25" customHeight="1" x14ac:dyDescent="0.25">
      <c r="A19" s="338" t="s">
        <v>37</v>
      </c>
      <c r="B19" s="339">
        <v>12827</v>
      </c>
      <c r="C19" s="264">
        <v>46036.800000000003</v>
      </c>
      <c r="D19" s="340">
        <v>12827</v>
      </c>
      <c r="E19" s="265">
        <v>215453.61</v>
      </c>
      <c r="F19" s="341">
        <v>19936.61</v>
      </c>
      <c r="G19" s="328">
        <v>13827</v>
      </c>
      <c r="H19" s="342">
        <f t="shared" si="0"/>
        <v>107.79605519607078</v>
      </c>
      <c r="I19" s="343"/>
      <c r="J19" s="266"/>
    </row>
    <row r="20" spans="1:10" ht="20.25" customHeight="1" x14ac:dyDescent="0.25">
      <c r="A20" s="338" t="s">
        <v>38</v>
      </c>
      <c r="B20" s="339">
        <v>5000</v>
      </c>
      <c r="C20" s="264">
        <v>1332.5060000000001</v>
      </c>
      <c r="D20" s="340">
        <v>5000</v>
      </c>
      <c r="E20" s="265">
        <v>6347.0599999999995</v>
      </c>
      <c r="F20" s="341">
        <v>2245.5700000000002</v>
      </c>
      <c r="G20" s="328">
        <v>7000</v>
      </c>
      <c r="H20" s="342">
        <f t="shared" si="0"/>
        <v>140</v>
      </c>
      <c r="I20" s="343"/>
      <c r="J20" s="266"/>
    </row>
    <row r="21" spans="1:10" ht="20.25" customHeight="1" x14ac:dyDescent="0.25">
      <c r="A21" s="338" t="s">
        <v>64</v>
      </c>
      <c r="B21" s="339">
        <v>503914</v>
      </c>
      <c r="C21" s="264">
        <v>494895.09</v>
      </c>
      <c r="D21" s="340">
        <v>0</v>
      </c>
      <c r="E21" s="265">
        <v>0</v>
      </c>
      <c r="F21" s="341">
        <v>0</v>
      </c>
      <c r="G21" s="328">
        <v>0</v>
      </c>
      <c r="H21" s="344" t="s">
        <v>71</v>
      </c>
      <c r="I21" s="343"/>
      <c r="J21" s="266"/>
    </row>
    <row r="22" spans="1:10" ht="20.25" customHeight="1" x14ac:dyDescent="0.25">
      <c r="A22" s="345" t="s">
        <v>95</v>
      </c>
      <c r="B22" s="339">
        <v>4400</v>
      </c>
      <c r="C22" s="264">
        <v>1122.43</v>
      </c>
      <c r="D22" s="340">
        <v>4400</v>
      </c>
      <c r="E22" s="265">
        <v>10655.699999999999</v>
      </c>
      <c r="F22" s="341">
        <v>74.900000000000006</v>
      </c>
      <c r="G22" s="328">
        <v>4400</v>
      </c>
      <c r="H22" s="344">
        <f t="shared" si="0"/>
        <v>100</v>
      </c>
      <c r="I22" s="343"/>
      <c r="J22" s="266"/>
    </row>
    <row r="23" spans="1:10" ht="20.25" customHeight="1" x14ac:dyDescent="0.25">
      <c r="A23" s="338" t="s">
        <v>65</v>
      </c>
      <c r="B23" s="339">
        <v>0</v>
      </c>
      <c r="C23" s="264">
        <v>451</v>
      </c>
      <c r="D23" s="340">
        <v>0</v>
      </c>
      <c r="E23" s="265">
        <v>53.17</v>
      </c>
      <c r="F23" s="341">
        <v>11.17</v>
      </c>
      <c r="G23" s="328">
        <v>0</v>
      </c>
      <c r="H23" s="344" t="s">
        <v>71</v>
      </c>
      <c r="I23" s="343"/>
      <c r="J23" s="266"/>
    </row>
    <row r="24" spans="1:10" ht="20.25" customHeight="1" x14ac:dyDescent="0.25">
      <c r="A24" s="338" t="s">
        <v>39</v>
      </c>
      <c r="B24" s="346">
        <v>322132</v>
      </c>
      <c r="C24" s="314">
        <v>331081.7</v>
      </c>
      <c r="D24" s="347">
        <v>326648</v>
      </c>
      <c r="E24" s="315">
        <v>363429.05999999994</v>
      </c>
      <c r="F24" s="348">
        <v>276800.63999999996</v>
      </c>
      <c r="G24" s="328">
        <v>343248</v>
      </c>
      <c r="H24" s="342">
        <f t="shared" si="0"/>
        <v>105.081923048664</v>
      </c>
      <c r="I24" s="343"/>
      <c r="J24" s="266"/>
    </row>
    <row r="25" spans="1:10" ht="20.25" customHeight="1" x14ac:dyDescent="0.25">
      <c r="A25" s="345" t="s">
        <v>96</v>
      </c>
      <c r="B25" s="346">
        <v>3000</v>
      </c>
      <c r="C25" s="314">
        <v>4528.76</v>
      </c>
      <c r="D25" s="340">
        <v>5750</v>
      </c>
      <c r="E25" s="265">
        <v>13356.06</v>
      </c>
      <c r="F25" s="341">
        <v>3991.6300000000006</v>
      </c>
      <c r="G25" s="328">
        <v>4750</v>
      </c>
      <c r="H25" s="344">
        <f t="shared" si="0"/>
        <v>82.608695652173907</v>
      </c>
      <c r="I25" s="343"/>
      <c r="J25" s="266"/>
    </row>
    <row r="26" spans="1:10" ht="20.25" customHeight="1" x14ac:dyDescent="0.25">
      <c r="A26" s="338" t="s">
        <v>77</v>
      </c>
      <c r="B26" s="346">
        <v>0</v>
      </c>
      <c r="C26" s="314">
        <v>14250.86</v>
      </c>
      <c r="D26" s="340">
        <v>0</v>
      </c>
      <c r="E26" s="265">
        <v>21016.17</v>
      </c>
      <c r="F26" s="341">
        <v>9891.15</v>
      </c>
      <c r="G26" s="328">
        <v>0</v>
      </c>
      <c r="H26" s="344" t="s">
        <v>71</v>
      </c>
      <c r="I26" s="343"/>
      <c r="J26" s="266"/>
    </row>
    <row r="27" spans="1:10" ht="20.25" customHeight="1" x14ac:dyDescent="0.25">
      <c r="A27" s="338" t="s">
        <v>40</v>
      </c>
      <c r="B27" s="346">
        <v>10000</v>
      </c>
      <c r="C27" s="314">
        <v>27105.100000000002</v>
      </c>
      <c r="D27" s="340">
        <v>11500</v>
      </c>
      <c r="E27" s="265">
        <v>29491.83</v>
      </c>
      <c r="F27" s="341">
        <v>26660.14</v>
      </c>
      <c r="G27" s="328">
        <v>12500</v>
      </c>
      <c r="H27" s="342">
        <f t="shared" si="0"/>
        <v>108.69565217391303</v>
      </c>
      <c r="I27" s="343"/>
      <c r="J27" s="266"/>
    </row>
    <row r="28" spans="1:10" ht="20.25" customHeight="1" x14ac:dyDescent="0.25">
      <c r="A28" s="345" t="s">
        <v>97</v>
      </c>
      <c r="B28" s="346">
        <v>750</v>
      </c>
      <c r="C28" s="314">
        <v>127.05</v>
      </c>
      <c r="D28" s="340">
        <v>0</v>
      </c>
      <c r="E28" s="265">
        <v>0</v>
      </c>
      <c r="F28" s="341">
        <v>0</v>
      </c>
      <c r="G28" s="328">
        <v>0</v>
      </c>
      <c r="H28" s="344" t="s">
        <v>71</v>
      </c>
      <c r="I28" s="343"/>
      <c r="J28" s="266"/>
    </row>
    <row r="29" spans="1:10" ht="20.25" customHeight="1" thickBot="1" x14ac:dyDescent="0.3">
      <c r="A29" s="349" t="s">
        <v>98</v>
      </c>
      <c r="B29" s="350">
        <v>5670</v>
      </c>
      <c r="C29" s="1214">
        <v>8384.1720000000005</v>
      </c>
      <c r="D29" s="351">
        <v>10123</v>
      </c>
      <c r="E29" s="316">
        <v>12063</v>
      </c>
      <c r="F29" s="352">
        <v>2411.19</v>
      </c>
      <c r="G29" s="294">
        <v>12041</v>
      </c>
      <c r="H29" s="353">
        <f t="shared" si="0"/>
        <v>118.94695248444138</v>
      </c>
      <c r="I29" s="354"/>
      <c r="J29" s="266"/>
    </row>
    <row r="30" spans="1:10" s="60" customFormat="1" ht="30.75" customHeight="1" thickBot="1" x14ac:dyDescent="0.3">
      <c r="A30" s="127" t="s">
        <v>70</v>
      </c>
      <c r="B30" s="86">
        <f t="shared" ref="B30" si="1">SUM(B9:B29)</f>
        <v>7086382</v>
      </c>
      <c r="C30" s="87">
        <f>SUM(C9:C29)</f>
        <v>7474472.4104999974</v>
      </c>
      <c r="D30" s="128">
        <f>SUM(D9:D29)</f>
        <v>7395037</v>
      </c>
      <c r="E30" s="88">
        <f t="shared" ref="E30:F30" si="2">SUM(E9:E29)</f>
        <v>8130260.2349999994</v>
      </c>
      <c r="F30" s="129">
        <f t="shared" si="2"/>
        <v>5392608.0899999999</v>
      </c>
      <c r="G30" s="256">
        <f>SUM(G9:G29)</f>
        <v>8014793</v>
      </c>
      <c r="H30" s="130">
        <f t="shared" si="0"/>
        <v>108.38070181393277</v>
      </c>
      <c r="I30" s="131"/>
    </row>
    <row r="31" spans="1:10" ht="16.5" thickBot="1" x14ac:dyDescent="0.3">
      <c r="H31" s="132"/>
    </row>
    <row r="32" spans="1:10" ht="30.75" customHeight="1" thickBot="1" x14ac:dyDescent="0.3">
      <c r="A32" s="355" t="s">
        <v>477</v>
      </c>
      <c r="B32" s="356">
        <v>0</v>
      </c>
      <c r="C32" s="357">
        <v>-14806.25</v>
      </c>
      <c r="D32" s="358">
        <v>0</v>
      </c>
      <c r="E32" s="359">
        <v>-15358</v>
      </c>
      <c r="F32" s="357">
        <v>-11323.75</v>
      </c>
      <c r="G32" s="133"/>
      <c r="H32" s="134"/>
    </row>
    <row r="33" spans="1:8" ht="32.25" customHeight="1" thickBot="1" x14ac:dyDescent="0.3">
      <c r="A33" s="64" t="s">
        <v>83</v>
      </c>
      <c r="B33" s="86">
        <f t="shared" ref="B33:F33" si="3">SUM(B30+B32)</f>
        <v>7086382</v>
      </c>
      <c r="C33" s="87">
        <f t="shared" si="3"/>
        <v>7459666.1604999974</v>
      </c>
      <c r="D33" s="128">
        <f t="shared" si="3"/>
        <v>7395037</v>
      </c>
      <c r="E33" s="88">
        <f t="shared" si="3"/>
        <v>8114902.2349999994</v>
      </c>
      <c r="F33" s="87">
        <f t="shared" si="3"/>
        <v>5381284.3399999999</v>
      </c>
      <c r="G33" s="109"/>
      <c r="H33" s="132"/>
    </row>
    <row r="437" spans="1:8" x14ac:dyDescent="0.2">
      <c r="A437" s="89"/>
      <c r="B437" s="47"/>
      <c r="C437" s="47"/>
      <c r="D437" s="47"/>
      <c r="E437" s="47"/>
      <c r="F437" s="47"/>
      <c r="G437" s="47"/>
      <c r="H437" s="47"/>
    </row>
  </sheetData>
  <mergeCells count="5">
    <mergeCell ref="A7:A8"/>
    <mergeCell ref="B7:C7"/>
    <mergeCell ref="D7:F7"/>
    <mergeCell ref="G7:G8"/>
    <mergeCell ref="H7:H8"/>
  </mergeCells>
  <phoneticPr fontId="9" type="noConversion"/>
  <printOptions horizontalCentered="1"/>
  <pageMargins left="0.59055118110236227" right="0.59055118110236227" top="0.78740157480314965" bottom="0.78740157480314965" header="0.59055118110236227" footer="0.59055118110236227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E8" sqref="E8"/>
    </sheetView>
  </sheetViews>
  <sheetFormatPr defaultRowHeight="12.75" x14ac:dyDescent="0.2"/>
  <cols>
    <col min="1" max="1" width="7.7109375" style="148" customWidth="1"/>
    <col min="2" max="2" width="6.7109375" style="1" customWidth="1"/>
    <col min="3" max="3" width="41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42578125" style="2" customWidth="1"/>
    <col min="11" max="11" width="14.7109375" style="2" customWidth="1"/>
    <col min="12" max="12" width="16.7109375" style="4" customWidth="1"/>
    <col min="13" max="14" width="9.7109375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69" width="13.85546875" style="1" customWidth="1"/>
    <col min="270" max="270" width="14.710937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5" width="13.85546875" style="1" customWidth="1"/>
    <col min="526" max="526" width="14.710937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1" width="13.85546875" style="1" customWidth="1"/>
    <col min="782" max="782" width="14.710937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7" width="13.85546875" style="1" customWidth="1"/>
    <col min="1038" max="1038" width="14.710937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3" width="13.85546875" style="1" customWidth="1"/>
    <col min="1294" max="1294" width="14.710937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49" width="13.85546875" style="1" customWidth="1"/>
    <col min="1550" max="1550" width="14.710937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5" width="13.85546875" style="1" customWidth="1"/>
    <col min="1806" max="1806" width="14.710937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1" width="13.85546875" style="1" customWidth="1"/>
    <col min="2062" max="2062" width="14.710937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7" width="13.85546875" style="1" customWidth="1"/>
    <col min="2318" max="2318" width="14.710937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3" width="13.85546875" style="1" customWidth="1"/>
    <col min="2574" max="2574" width="14.710937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29" width="13.85546875" style="1" customWidth="1"/>
    <col min="2830" max="2830" width="14.710937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5" width="13.85546875" style="1" customWidth="1"/>
    <col min="3086" max="3086" width="14.710937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1" width="13.85546875" style="1" customWidth="1"/>
    <col min="3342" max="3342" width="14.710937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7" width="13.85546875" style="1" customWidth="1"/>
    <col min="3598" max="3598" width="14.710937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3" width="13.85546875" style="1" customWidth="1"/>
    <col min="3854" max="3854" width="14.710937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09" width="13.85546875" style="1" customWidth="1"/>
    <col min="4110" max="4110" width="14.710937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5" width="13.85546875" style="1" customWidth="1"/>
    <col min="4366" max="4366" width="14.710937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1" width="13.85546875" style="1" customWidth="1"/>
    <col min="4622" max="4622" width="14.710937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7" width="13.85546875" style="1" customWidth="1"/>
    <col min="4878" max="4878" width="14.710937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3" width="13.85546875" style="1" customWidth="1"/>
    <col min="5134" max="5134" width="14.710937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89" width="13.85546875" style="1" customWidth="1"/>
    <col min="5390" max="5390" width="14.710937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5" width="13.85546875" style="1" customWidth="1"/>
    <col min="5646" max="5646" width="14.710937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1" width="13.85546875" style="1" customWidth="1"/>
    <col min="5902" max="5902" width="14.710937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7" width="13.85546875" style="1" customWidth="1"/>
    <col min="6158" max="6158" width="14.710937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3" width="13.85546875" style="1" customWidth="1"/>
    <col min="6414" max="6414" width="14.710937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69" width="13.85546875" style="1" customWidth="1"/>
    <col min="6670" max="6670" width="14.710937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5" width="13.85546875" style="1" customWidth="1"/>
    <col min="6926" max="6926" width="14.710937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1" width="13.85546875" style="1" customWidth="1"/>
    <col min="7182" max="7182" width="14.710937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7" width="13.85546875" style="1" customWidth="1"/>
    <col min="7438" max="7438" width="14.710937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3" width="13.85546875" style="1" customWidth="1"/>
    <col min="7694" max="7694" width="14.710937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49" width="13.85546875" style="1" customWidth="1"/>
    <col min="7950" max="7950" width="14.710937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5" width="13.85546875" style="1" customWidth="1"/>
    <col min="8206" max="8206" width="14.710937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1" width="13.85546875" style="1" customWidth="1"/>
    <col min="8462" max="8462" width="14.710937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7" width="13.85546875" style="1" customWidth="1"/>
    <col min="8718" max="8718" width="14.710937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3" width="13.85546875" style="1" customWidth="1"/>
    <col min="8974" max="8974" width="14.710937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29" width="13.85546875" style="1" customWidth="1"/>
    <col min="9230" max="9230" width="14.710937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5" width="13.85546875" style="1" customWidth="1"/>
    <col min="9486" max="9486" width="14.710937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1" width="13.85546875" style="1" customWidth="1"/>
    <col min="9742" max="9742" width="14.710937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7" width="13.85546875" style="1" customWidth="1"/>
    <col min="9998" max="9998" width="14.710937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3" width="13.85546875" style="1" customWidth="1"/>
    <col min="10254" max="10254" width="14.710937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09" width="13.85546875" style="1" customWidth="1"/>
    <col min="10510" max="10510" width="14.710937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5" width="13.85546875" style="1" customWidth="1"/>
    <col min="10766" max="10766" width="14.710937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1" width="13.85546875" style="1" customWidth="1"/>
    <col min="11022" max="11022" width="14.710937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7" width="13.85546875" style="1" customWidth="1"/>
    <col min="11278" max="11278" width="14.710937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3" width="13.85546875" style="1" customWidth="1"/>
    <col min="11534" max="11534" width="14.710937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89" width="13.85546875" style="1" customWidth="1"/>
    <col min="11790" max="11790" width="14.710937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5" width="13.85546875" style="1" customWidth="1"/>
    <col min="12046" max="12046" width="14.710937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1" width="13.85546875" style="1" customWidth="1"/>
    <col min="12302" max="12302" width="14.710937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7" width="13.85546875" style="1" customWidth="1"/>
    <col min="12558" max="12558" width="14.710937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3" width="13.85546875" style="1" customWidth="1"/>
    <col min="12814" max="12814" width="14.710937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69" width="13.85546875" style="1" customWidth="1"/>
    <col min="13070" max="13070" width="14.710937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5" width="13.85546875" style="1" customWidth="1"/>
    <col min="13326" max="13326" width="14.710937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1" width="13.85546875" style="1" customWidth="1"/>
    <col min="13582" max="13582" width="14.710937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7" width="13.85546875" style="1" customWidth="1"/>
    <col min="13838" max="13838" width="14.710937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3" width="13.85546875" style="1" customWidth="1"/>
    <col min="14094" max="14094" width="14.710937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49" width="13.85546875" style="1" customWidth="1"/>
    <col min="14350" max="14350" width="14.710937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5" width="13.85546875" style="1" customWidth="1"/>
    <col min="14606" max="14606" width="14.710937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1" width="13.85546875" style="1" customWidth="1"/>
    <col min="14862" max="14862" width="14.710937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7" width="13.85546875" style="1" customWidth="1"/>
    <col min="15118" max="15118" width="14.710937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3" width="13.85546875" style="1" customWidth="1"/>
    <col min="15374" max="15374" width="14.710937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29" width="13.85546875" style="1" customWidth="1"/>
    <col min="15630" max="15630" width="14.710937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5" width="13.85546875" style="1" customWidth="1"/>
    <col min="15886" max="15886" width="14.710937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1" width="13.85546875" style="1" customWidth="1"/>
    <col min="16142" max="16142" width="14.7109375" style="1" customWidth="1"/>
    <col min="16143" max="16384" width="9.140625" style="1"/>
  </cols>
  <sheetData>
    <row r="1" spans="1:15" ht="15" customHeight="1" x14ac:dyDescent="0.25">
      <c r="N1" s="6"/>
    </row>
    <row r="2" spans="1:15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15" ht="15" customHeight="1" x14ac:dyDescent="0.2"/>
    <row r="4" spans="1:15" ht="20.100000000000001" customHeight="1" x14ac:dyDescent="0.25">
      <c r="A4" s="149" t="s">
        <v>444</v>
      </c>
      <c r="M4" s="8"/>
    </row>
    <row r="5" spans="1:15" ht="15" customHeight="1" thickBot="1" x14ac:dyDescent="0.3">
      <c r="A5" s="149"/>
      <c r="N5" s="8" t="s">
        <v>0</v>
      </c>
    </row>
    <row r="6" spans="1:15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15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1253" t="s">
        <v>99</v>
      </c>
      <c r="M7" s="1480"/>
      <c r="N7" s="1482"/>
    </row>
    <row r="8" spans="1:15" s="18" customFormat="1" ht="20.100000000000001" customHeight="1" thickBot="1" x14ac:dyDescent="0.3">
      <c r="A8" s="150"/>
      <c r="B8" s="10" t="s">
        <v>158</v>
      </c>
      <c r="C8" s="10"/>
      <c r="D8" s="1264"/>
      <c r="E8" s="1265"/>
      <c r="F8" s="1264"/>
      <c r="G8" s="1266"/>
      <c r="H8" s="1266"/>
      <c r="I8" s="1267"/>
      <c r="J8" s="1267"/>
      <c r="K8" s="1267"/>
      <c r="L8" s="1268"/>
      <c r="M8" s="16"/>
      <c r="N8" s="17"/>
    </row>
    <row r="9" spans="1:15" s="143" customFormat="1" ht="15" customHeight="1" x14ac:dyDescent="0.2">
      <c r="A9" s="360">
        <v>2143</v>
      </c>
      <c r="B9" s="1485" t="s">
        <v>174</v>
      </c>
      <c r="C9" s="1486"/>
      <c r="D9" s="361">
        <v>0</v>
      </c>
      <c r="E9" s="362">
        <v>10000</v>
      </c>
      <c r="F9" s="363">
        <v>0</v>
      </c>
      <c r="G9" s="364">
        <v>0</v>
      </c>
      <c r="H9" s="365">
        <v>0</v>
      </c>
      <c r="I9" s="395">
        <v>0</v>
      </c>
      <c r="J9" s="396">
        <v>0</v>
      </c>
      <c r="K9" s="397">
        <v>0</v>
      </c>
      <c r="L9" s="366">
        <f>SUM(I9:K9)</f>
        <v>0</v>
      </c>
      <c r="M9" s="585" t="s">
        <v>71</v>
      </c>
      <c r="N9" s="520" t="s">
        <v>71</v>
      </c>
    </row>
    <row r="10" spans="1:15" s="143" customFormat="1" ht="28.5" customHeight="1" x14ac:dyDescent="0.2">
      <c r="A10" s="367">
        <v>3124</v>
      </c>
      <c r="B10" s="1483" t="s">
        <v>368</v>
      </c>
      <c r="C10" s="1484"/>
      <c r="D10" s="368">
        <v>0</v>
      </c>
      <c r="E10" s="369">
        <v>100</v>
      </c>
      <c r="F10" s="368">
        <v>0</v>
      </c>
      <c r="G10" s="370">
        <v>0</v>
      </c>
      <c r="H10" s="371">
        <v>0</v>
      </c>
      <c r="I10" s="496">
        <v>0</v>
      </c>
      <c r="J10" s="484">
        <v>0</v>
      </c>
      <c r="K10" s="733">
        <v>0</v>
      </c>
      <c r="L10" s="373">
        <f t="shared" ref="L10:L26" si="0">SUM(I10:K10)</f>
        <v>0</v>
      </c>
      <c r="M10" s="504" t="s">
        <v>71</v>
      </c>
      <c r="N10" s="385" t="s">
        <v>71</v>
      </c>
      <c r="O10" s="236"/>
    </row>
    <row r="11" spans="1:15" s="143" customFormat="1" ht="15" customHeight="1" x14ac:dyDescent="0.2">
      <c r="A11" s="367">
        <v>3421</v>
      </c>
      <c r="B11" s="1483" t="s">
        <v>207</v>
      </c>
      <c r="C11" s="1484"/>
      <c r="D11" s="368">
        <v>0</v>
      </c>
      <c r="E11" s="369">
        <v>0</v>
      </c>
      <c r="F11" s="368">
        <v>0</v>
      </c>
      <c r="G11" s="370">
        <v>19.079999999999998</v>
      </c>
      <c r="H11" s="371">
        <v>19.079999999999998</v>
      </c>
      <c r="I11" s="496">
        <v>0</v>
      </c>
      <c r="J11" s="484">
        <v>0</v>
      </c>
      <c r="K11" s="733">
        <v>0</v>
      </c>
      <c r="L11" s="373">
        <f t="shared" ref="L11" si="1">SUM(I11:K11)</f>
        <v>0</v>
      </c>
      <c r="M11" s="504" t="s">
        <v>71</v>
      </c>
      <c r="N11" s="385">
        <f t="shared" ref="N11" si="2">L11/G11*100</f>
        <v>0</v>
      </c>
      <c r="O11" s="236"/>
    </row>
    <row r="12" spans="1:15" s="143" customFormat="1" ht="30" customHeight="1" x14ac:dyDescent="0.2">
      <c r="A12" s="1192">
        <v>3900</v>
      </c>
      <c r="B12" s="1483" t="s">
        <v>229</v>
      </c>
      <c r="C12" s="1484"/>
      <c r="D12" s="368">
        <v>511</v>
      </c>
      <c r="E12" s="376">
        <v>750</v>
      </c>
      <c r="F12" s="368">
        <v>961</v>
      </c>
      <c r="G12" s="370">
        <v>961</v>
      </c>
      <c r="H12" s="371">
        <v>450</v>
      </c>
      <c r="I12" s="496">
        <v>0</v>
      </c>
      <c r="J12" s="484">
        <v>0</v>
      </c>
      <c r="K12" s="733">
        <f>961+100</f>
        <v>1061</v>
      </c>
      <c r="L12" s="373">
        <f t="shared" si="0"/>
        <v>1061</v>
      </c>
      <c r="M12" s="504">
        <f t="shared" ref="M12:M27" si="3">L12/F12*100</f>
        <v>110.40582726326743</v>
      </c>
      <c r="N12" s="385">
        <f t="shared" ref="N12:N27" si="4">L12/G12*100</f>
        <v>110.40582726326743</v>
      </c>
      <c r="O12" s="236"/>
    </row>
    <row r="13" spans="1:15" s="143" customFormat="1" ht="15" customHeight="1" x14ac:dyDescent="0.2">
      <c r="A13" s="1192">
        <v>5212</v>
      </c>
      <c r="B13" s="1483" t="s">
        <v>230</v>
      </c>
      <c r="C13" s="1484"/>
      <c r="D13" s="368">
        <v>1000</v>
      </c>
      <c r="E13" s="376">
        <v>146.47</v>
      </c>
      <c r="F13" s="377">
        <v>1000</v>
      </c>
      <c r="G13" s="370">
        <v>2643.58</v>
      </c>
      <c r="H13" s="371">
        <v>54.32</v>
      </c>
      <c r="I13" s="496">
        <v>1000</v>
      </c>
      <c r="J13" s="484">
        <v>0</v>
      </c>
      <c r="K13" s="733">
        <v>0</v>
      </c>
      <c r="L13" s="373">
        <f t="shared" si="0"/>
        <v>1000</v>
      </c>
      <c r="M13" s="504">
        <f t="shared" si="3"/>
        <v>100</v>
      </c>
      <c r="N13" s="385">
        <f t="shared" si="4"/>
        <v>37.827491507728155</v>
      </c>
      <c r="O13" s="236"/>
    </row>
    <row r="14" spans="1:15" s="143" customFormat="1" ht="15" customHeight="1" x14ac:dyDescent="0.2">
      <c r="A14" s="1192">
        <v>5213</v>
      </c>
      <c r="B14" s="1483" t="s">
        <v>231</v>
      </c>
      <c r="C14" s="1484"/>
      <c r="D14" s="368">
        <v>0</v>
      </c>
      <c r="E14" s="376">
        <v>0</v>
      </c>
      <c r="F14" s="377">
        <v>0</v>
      </c>
      <c r="G14" s="370">
        <v>2000</v>
      </c>
      <c r="H14" s="371">
        <v>0</v>
      </c>
      <c r="I14" s="496">
        <v>500</v>
      </c>
      <c r="J14" s="484">
        <v>0</v>
      </c>
      <c r="K14" s="733">
        <v>0</v>
      </c>
      <c r="L14" s="373">
        <f t="shared" si="0"/>
        <v>500</v>
      </c>
      <c r="M14" s="504" t="s">
        <v>71</v>
      </c>
      <c r="N14" s="385">
        <f t="shared" si="4"/>
        <v>25</v>
      </c>
      <c r="O14" s="236"/>
    </row>
    <row r="15" spans="1:15" s="143" customFormat="1" ht="15" customHeight="1" x14ac:dyDescent="0.2">
      <c r="A15" s="1192">
        <v>5273</v>
      </c>
      <c r="B15" s="1483" t="s">
        <v>409</v>
      </c>
      <c r="C15" s="1484"/>
      <c r="D15" s="368">
        <v>1500</v>
      </c>
      <c r="E15" s="376">
        <v>649.72</v>
      </c>
      <c r="F15" s="377">
        <v>1500</v>
      </c>
      <c r="G15" s="370">
        <v>1500</v>
      </c>
      <c r="H15" s="371">
        <v>353.15</v>
      </c>
      <c r="I15" s="496">
        <v>1000</v>
      </c>
      <c r="J15" s="484">
        <v>500</v>
      </c>
      <c r="K15" s="733">
        <v>0</v>
      </c>
      <c r="L15" s="373">
        <f t="shared" si="0"/>
        <v>1500</v>
      </c>
      <c r="M15" s="504">
        <f t="shared" si="3"/>
        <v>100</v>
      </c>
      <c r="N15" s="385">
        <f t="shared" si="4"/>
        <v>100</v>
      </c>
      <c r="O15" s="236"/>
    </row>
    <row r="16" spans="1:15" s="143" customFormat="1" ht="15" customHeight="1" x14ac:dyDescent="0.2">
      <c r="A16" s="1192">
        <v>5279</v>
      </c>
      <c r="B16" s="1483" t="s">
        <v>232</v>
      </c>
      <c r="C16" s="1484"/>
      <c r="D16" s="368">
        <v>1000</v>
      </c>
      <c r="E16" s="376">
        <v>21.77</v>
      </c>
      <c r="F16" s="377">
        <v>1000</v>
      </c>
      <c r="G16" s="370">
        <v>1000</v>
      </c>
      <c r="H16" s="371">
        <v>0</v>
      </c>
      <c r="I16" s="496">
        <v>0</v>
      </c>
      <c r="J16" s="484">
        <v>500</v>
      </c>
      <c r="K16" s="733">
        <v>0</v>
      </c>
      <c r="L16" s="373">
        <f t="shared" si="0"/>
        <v>500</v>
      </c>
      <c r="M16" s="504">
        <f t="shared" si="3"/>
        <v>50</v>
      </c>
      <c r="N16" s="385">
        <f t="shared" si="4"/>
        <v>50</v>
      </c>
      <c r="O16" s="236"/>
    </row>
    <row r="17" spans="1:15" s="143" customFormat="1" ht="15" customHeight="1" x14ac:dyDescent="0.2">
      <c r="A17" s="1192">
        <v>5512</v>
      </c>
      <c r="B17" s="1483" t="s">
        <v>397</v>
      </c>
      <c r="C17" s="1484"/>
      <c r="D17" s="368">
        <v>500</v>
      </c>
      <c r="E17" s="376">
        <v>1300</v>
      </c>
      <c r="F17" s="377">
        <v>500</v>
      </c>
      <c r="G17" s="370">
        <v>500</v>
      </c>
      <c r="H17" s="371">
        <v>0</v>
      </c>
      <c r="I17" s="496">
        <v>0</v>
      </c>
      <c r="J17" s="484">
        <v>500</v>
      </c>
      <c r="K17" s="733">
        <v>0</v>
      </c>
      <c r="L17" s="373">
        <f t="shared" si="0"/>
        <v>500</v>
      </c>
      <c r="M17" s="504">
        <f t="shared" si="3"/>
        <v>100</v>
      </c>
      <c r="N17" s="385">
        <f t="shared" si="4"/>
        <v>100</v>
      </c>
      <c r="O17" s="236"/>
    </row>
    <row r="18" spans="1:15" s="20" customFormat="1" ht="15" customHeight="1" x14ac:dyDescent="0.2">
      <c r="A18" s="1461">
        <v>6113</v>
      </c>
      <c r="B18" s="1483" t="s">
        <v>193</v>
      </c>
      <c r="C18" s="1484"/>
      <c r="D18" s="368">
        <v>52747</v>
      </c>
      <c r="E18" s="378">
        <v>44784.33</v>
      </c>
      <c r="F18" s="368">
        <v>52747</v>
      </c>
      <c r="G18" s="370">
        <v>54174.54</v>
      </c>
      <c r="H18" s="371">
        <v>31591.69</v>
      </c>
      <c r="I18" s="496">
        <f>50426</f>
        <v>50426</v>
      </c>
      <c r="J18" s="484">
        <v>1500</v>
      </c>
      <c r="K18" s="733">
        <v>1000</v>
      </c>
      <c r="L18" s="373">
        <f t="shared" si="0"/>
        <v>52926</v>
      </c>
      <c r="M18" s="504">
        <f t="shared" si="3"/>
        <v>100.33935579274652</v>
      </c>
      <c r="N18" s="385">
        <f t="shared" si="4"/>
        <v>97.695338068398911</v>
      </c>
      <c r="O18" s="236"/>
    </row>
    <row r="19" spans="1:15" s="20" customFormat="1" ht="15" customHeight="1" x14ac:dyDescent="0.2">
      <c r="A19" s="1462"/>
      <c r="B19" s="1491" t="s">
        <v>133</v>
      </c>
      <c r="C19" s="180" t="s">
        <v>233</v>
      </c>
      <c r="D19" s="168">
        <v>32747</v>
      </c>
      <c r="E19" s="248">
        <v>33095.15</v>
      </c>
      <c r="F19" s="168">
        <v>32747</v>
      </c>
      <c r="G19" s="169">
        <v>32925.85</v>
      </c>
      <c r="H19" s="170">
        <v>22255.47</v>
      </c>
      <c r="I19" s="171">
        <v>32926</v>
      </c>
      <c r="J19" s="172">
        <v>0</v>
      </c>
      <c r="K19" s="734">
        <v>0</v>
      </c>
      <c r="L19" s="164">
        <f t="shared" si="0"/>
        <v>32926</v>
      </c>
      <c r="M19" s="166">
        <f t="shared" si="3"/>
        <v>100.54661495709531</v>
      </c>
      <c r="N19" s="167">
        <f t="shared" si="4"/>
        <v>100.00045556910453</v>
      </c>
      <c r="O19" s="236"/>
    </row>
    <row r="20" spans="1:15" s="20" customFormat="1" ht="15" customHeight="1" x14ac:dyDescent="0.2">
      <c r="A20" s="1462"/>
      <c r="B20" s="1492"/>
      <c r="C20" s="1014" t="s">
        <v>234</v>
      </c>
      <c r="D20" s="173">
        <v>1930</v>
      </c>
      <c r="E20" s="249">
        <v>746.59</v>
      </c>
      <c r="F20" s="173">
        <v>1930</v>
      </c>
      <c r="G20" s="161">
        <v>1430</v>
      </c>
      <c r="H20" s="174">
        <v>250.16</v>
      </c>
      <c r="I20" s="163">
        <v>80</v>
      </c>
      <c r="J20" s="735">
        <v>920</v>
      </c>
      <c r="K20" s="736">
        <v>0</v>
      </c>
      <c r="L20" s="164">
        <f t="shared" si="0"/>
        <v>1000</v>
      </c>
      <c r="M20" s="166">
        <f t="shared" si="3"/>
        <v>51.813471502590666</v>
      </c>
      <c r="N20" s="167">
        <f t="shared" si="4"/>
        <v>69.930069930069934</v>
      </c>
      <c r="O20" s="236"/>
    </row>
    <row r="21" spans="1:15" s="20" customFormat="1" ht="15" customHeight="1" x14ac:dyDescent="0.2">
      <c r="A21" s="1461">
        <v>6172</v>
      </c>
      <c r="B21" s="1483" t="s">
        <v>160</v>
      </c>
      <c r="C21" s="1484"/>
      <c r="D21" s="380">
        <v>24065</v>
      </c>
      <c r="E21" s="381">
        <v>22362.25</v>
      </c>
      <c r="F21" s="380">
        <v>24065</v>
      </c>
      <c r="G21" s="382">
        <v>25070.63</v>
      </c>
      <c r="H21" s="383">
        <v>10315.299999999999</v>
      </c>
      <c r="I21" s="405">
        <v>16980</v>
      </c>
      <c r="J21" s="406">
        <v>3000</v>
      </c>
      <c r="K21" s="407">
        <v>4000</v>
      </c>
      <c r="L21" s="373">
        <f t="shared" si="0"/>
        <v>23980</v>
      </c>
      <c r="M21" s="504">
        <f t="shared" si="3"/>
        <v>99.646789943901936</v>
      </c>
      <c r="N21" s="385">
        <f t="shared" si="4"/>
        <v>95.649770269035912</v>
      </c>
      <c r="O21" s="236"/>
    </row>
    <row r="22" spans="1:15" s="20" customFormat="1" ht="15" customHeight="1" x14ac:dyDescent="0.2">
      <c r="A22" s="1462"/>
      <c r="B22" s="1493" t="s">
        <v>122</v>
      </c>
      <c r="C22" s="608" t="s">
        <v>233</v>
      </c>
      <c r="D22" s="173">
        <v>0</v>
      </c>
      <c r="E22" s="249">
        <v>3277.3</v>
      </c>
      <c r="F22" s="173">
        <v>3100</v>
      </c>
      <c r="G22" s="225">
        <v>700</v>
      </c>
      <c r="H22" s="902">
        <v>321.48</v>
      </c>
      <c r="I22" s="903">
        <v>0</v>
      </c>
      <c r="J22" s="735">
        <v>482</v>
      </c>
      <c r="K22" s="904">
        <v>0</v>
      </c>
      <c r="L22" s="164">
        <f t="shared" si="0"/>
        <v>482</v>
      </c>
      <c r="M22" s="905">
        <f t="shared" si="3"/>
        <v>15.548387096774194</v>
      </c>
      <c r="N22" s="906">
        <f t="shared" si="4"/>
        <v>68.857142857142861</v>
      </c>
      <c r="O22" s="236"/>
    </row>
    <row r="23" spans="1:15" s="20" customFormat="1" ht="15" customHeight="1" x14ac:dyDescent="0.2">
      <c r="A23" s="1463"/>
      <c r="B23" s="1494"/>
      <c r="C23" s="608" t="s">
        <v>234</v>
      </c>
      <c r="D23" s="173">
        <v>30</v>
      </c>
      <c r="E23" s="249">
        <v>0</v>
      </c>
      <c r="F23" s="173">
        <v>0</v>
      </c>
      <c r="G23" s="225">
        <v>0</v>
      </c>
      <c r="H23" s="902">
        <v>0</v>
      </c>
      <c r="I23" s="903">
        <v>0</v>
      </c>
      <c r="J23" s="735">
        <v>0</v>
      </c>
      <c r="K23" s="904">
        <v>0</v>
      </c>
      <c r="L23" s="164">
        <f t="shared" si="0"/>
        <v>0</v>
      </c>
      <c r="M23" s="905" t="s">
        <v>71</v>
      </c>
      <c r="N23" s="906" t="s">
        <v>71</v>
      </c>
      <c r="O23" s="236"/>
    </row>
    <row r="24" spans="1:15" s="20" customFormat="1" ht="15" customHeight="1" x14ac:dyDescent="0.2">
      <c r="A24" s="1191">
        <v>6223</v>
      </c>
      <c r="B24" s="1487" t="s">
        <v>252</v>
      </c>
      <c r="C24" s="1488"/>
      <c r="D24" s="380">
        <v>6200</v>
      </c>
      <c r="E24" s="381">
        <v>2908.19</v>
      </c>
      <c r="F24" s="380">
        <v>6200</v>
      </c>
      <c r="G24" s="523">
        <v>6200</v>
      </c>
      <c r="H24" s="948">
        <v>2649.99</v>
      </c>
      <c r="I24" s="949">
        <v>4000</v>
      </c>
      <c r="J24" s="950">
        <v>2200</v>
      </c>
      <c r="K24" s="951">
        <v>0</v>
      </c>
      <c r="L24" s="373">
        <f t="shared" si="0"/>
        <v>6200</v>
      </c>
      <c r="M24" s="952">
        <f t="shared" ref="M24:M26" si="5">L24/F24*100</f>
        <v>100</v>
      </c>
      <c r="N24" s="953">
        <f t="shared" ref="N24:N25" si="6">L24/G24*100</f>
        <v>100</v>
      </c>
      <c r="O24" s="236"/>
    </row>
    <row r="25" spans="1:15" s="20" customFormat="1" ht="15" customHeight="1" x14ac:dyDescent="0.2">
      <c r="A25" s="1191">
        <v>6330</v>
      </c>
      <c r="B25" s="1483" t="s">
        <v>318</v>
      </c>
      <c r="C25" s="1484"/>
      <c r="D25" s="380">
        <v>0</v>
      </c>
      <c r="E25" s="381">
        <v>750</v>
      </c>
      <c r="F25" s="380">
        <v>0</v>
      </c>
      <c r="G25" s="382">
        <v>835</v>
      </c>
      <c r="H25" s="383">
        <v>605</v>
      </c>
      <c r="I25" s="405">
        <v>0</v>
      </c>
      <c r="J25" s="406">
        <v>0</v>
      </c>
      <c r="K25" s="407">
        <v>0</v>
      </c>
      <c r="L25" s="373">
        <f t="shared" si="0"/>
        <v>0</v>
      </c>
      <c r="M25" s="661" t="s">
        <v>71</v>
      </c>
      <c r="N25" s="158">
        <f t="shared" si="6"/>
        <v>0</v>
      </c>
      <c r="O25" s="236"/>
    </row>
    <row r="26" spans="1:15" s="20" customFormat="1" ht="15" customHeight="1" thickBot="1" x14ac:dyDescent="0.25">
      <c r="A26" s="1191">
        <v>6409</v>
      </c>
      <c r="B26" s="1483" t="s">
        <v>235</v>
      </c>
      <c r="C26" s="1484"/>
      <c r="D26" s="380">
        <v>750</v>
      </c>
      <c r="E26" s="381">
        <v>0</v>
      </c>
      <c r="F26" s="380">
        <v>750</v>
      </c>
      <c r="G26" s="382">
        <v>0</v>
      </c>
      <c r="H26" s="383">
        <v>0</v>
      </c>
      <c r="I26" s="405">
        <v>835</v>
      </c>
      <c r="J26" s="406">
        <v>0</v>
      </c>
      <c r="K26" s="407">
        <v>0</v>
      </c>
      <c r="L26" s="387">
        <f t="shared" si="0"/>
        <v>835</v>
      </c>
      <c r="M26" s="661">
        <f t="shared" si="5"/>
        <v>111.33333333333333</v>
      </c>
      <c r="N26" s="158" t="s">
        <v>71</v>
      </c>
      <c r="O26" s="236"/>
    </row>
    <row r="27" spans="1:15" s="22" customFormat="1" ht="16.5" thickBot="1" x14ac:dyDescent="0.3">
      <c r="A27" s="955"/>
      <c r="B27" s="1489" t="s">
        <v>99</v>
      </c>
      <c r="C27" s="1490"/>
      <c r="D27" s="956">
        <f>SUM(D9:D18, D21,D24,D25:D26)</f>
        <v>88273</v>
      </c>
      <c r="E27" s="957">
        <f>SUM(E9:E18, E21,E24,E25:E26)</f>
        <v>83772.73000000001</v>
      </c>
      <c r="F27" s="956">
        <f>+F9+F10+F12+F13+F14+F15+F16+F17+F18+F21+F24+F25+F26</f>
        <v>88723</v>
      </c>
      <c r="G27" s="958">
        <f>G11+G9+G10+G12+G13+G14+G15+G16+G17+G18+G21+G24+G25+G26</f>
        <v>94903.83</v>
      </c>
      <c r="H27" s="957">
        <f>+H9+H10+H12+H13+H14+H15+H16+H17+H18+H21+H24+H25+H26+H11</f>
        <v>46038.53</v>
      </c>
      <c r="I27" s="956">
        <f>+I9+I10+I12+I13+I14+I15+I16+I17+I18+I21+I24+I25+I26</f>
        <v>74741</v>
      </c>
      <c r="J27" s="959">
        <f>+J9+J10+J12+J13+J14+J15+J16+J17+J18+J21+J24+J25+J26</f>
        <v>8200</v>
      </c>
      <c r="K27" s="960">
        <f>+K9+K10+K12+K13+K14+K15+K16+K17+K18+K21+K24+K25+K26</f>
        <v>6061</v>
      </c>
      <c r="L27" s="221">
        <f>SUM(L9:L18, L21,L24,L25:L26)</f>
        <v>89002</v>
      </c>
      <c r="M27" s="961">
        <f t="shared" si="3"/>
        <v>100.31446186445454</v>
      </c>
      <c r="N27" s="962">
        <f t="shared" si="4"/>
        <v>93.78125203166195</v>
      </c>
      <c r="O27" s="737"/>
    </row>
    <row r="28" spans="1:15" ht="15" customHeight="1" x14ac:dyDescent="0.25">
      <c r="A28" s="151"/>
      <c r="B28" s="23"/>
      <c r="C28" s="23"/>
      <c r="D28" s="910"/>
      <c r="E28" s="909"/>
      <c r="F28" s="910"/>
      <c r="G28" s="913"/>
      <c r="H28" s="913"/>
      <c r="I28" s="237"/>
      <c r="J28" s="237"/>
      <c r="K28" s="237"/>
      <c r="L28" s="237"/>
      <c r="M28" s="28"/>
      <c r="N28" s="29"/>
      <c r="O28" s="19"/>
    </row>
    <row r="29" spans="1:15" ht="15" customHeight="1" x14ac:dyDescent="0.25">
      <c r="A29" s="1"/>
      <c r="B29" s="23"/>
      <c r="C29" s="23"/>
      <c r="D29" s="909"/>
      <c r="E29" s="909"/>
      <c r="F29" s="909"/>
      <c r="G29" s="909"/>
      <c r="H29" s="909"/>
      <c r="I29" s="909"/>
      <c r="J29" s="909"/>
      <c r="K29" s="909"/>
      <c r="L29" s="909"/>
      <c r="M29" s="25"/>
      <c r="N29" s="25"/>
      <c r="O29" s="19"/>
    </row>
  </sheetData>
  <mergeCells count="27">
    <mergeCell ref="B24:C24"/>
    <mergeCell ref="B25:C25"/>
    <mergeCell ref="B26:C26"/>
    <mergeCell ref="B10:C10"/>
    <mergeCell ref="B27:C27"/>
    <mergeCell ref="B15:C15"/>
    <mergeCell ref="B16:C16"/>
    <mergeCell ref="B17:C17"/>
    <mergeCell ref="B18:C18"/>
    <mergeCell ref="B21:C21"/>
    <mergeCell ref="B19:B20"/>
    <mergeCell ref="B22:B23"/>
    <mergeCell ref="B11:C11"/>
    <mergeCell ref="A18:A20"/>
    <mergeCell ref="A21:A23"/>
    <mergeCell ref="B6:C7"/>
    <mergeCell ref="A2:N2"/>
    <mergeCell ref="A6:A7"/>
    <mergeCell ref="D6:E6"/>
    <mergeCell ref="F6:H6"/>
    <mergeCell ref="I6:L6"/>
    <mergeCell ref="M6:M7"/>
    <mergeCell ref="N6:N7"/>
    <mergeCell ref="B12:C12"/>
    <mergeCell ref="B9:C9"/>
    <mergeCell ref="B13:C13"/>
    <mergeCell ref="B14:C14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/>
  </sheetViews>
  <sheetFormatPr defaultRowHeight="12.75" x14ac:dyDescent="0.2"/>
  <cols>
    <col min="1" max="1" width="7.7109375" style="148" customWidth="1"/>
    <col min="2" max="2" width="6.7109375" style="1" customWidth="1"/>
    <col min="3" max="3" width="41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5703125" style="2" customWidth="1"/>
    <col min="11" max="11" width="14.7109375" style="2" customWidth="1"/>
    <col min="12" max="12" width="14.7109375" style="4" customWidth="1"/>
    <col min="13" max="14" width="9.7109375" style="5" customWidth="1"/>
    <col min="15" max="15" width="9.85546875" style="1" bestFit="1" customWidth="1"/>
    <col min="16" max="16384" width="9.140625" style="1"/>
  </cols>
  <sheetData>
    <row r="1" spans="1:16" ht="15" customHeight="1" x14ac:dyDescent="0.25">
      <c r="N1" s="6"/>
    </row>
    <row r="2" spans="1:16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16" ht="15" customHeight="1" x14ac:dyDescent="0.2"/>
    <row r="4" spans="1:16" ht="20.100000000000001" customHeight="1" x14ac:dyDescent="0.25">
      <c r="A4" s="149" t="s">
        <v>445</v>
      </c>
      <c r="M4" s="8"/>
    </row>
    <row r="5" spans="1:16" ht="15" customHeight="1" thickBot="1" x14ac:dyDescent="0.3">
      <c r="A5" s="149"/>
      <c r="N5" s="8" t="s">
        <v>0</v>
      </c>
    </row>
    <row r="6" spans="1:16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16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1253" t="s">
        <v>99</v>
      </c>
      <c r="M7" s="1480"/>
      <c r="N7" s="1482"/>
    </row>
    <row r="8" spans="1:16" s="18" customFormat="1" ht="20.100000000000001" customHeight="1" thickBot="1" x14ac:dyDescent="0.3">
      <c r="A8" s="150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16" s="20" customFormat="1" ht="15" customHeight="1" x14ac:dyDescent="0.25">
      <c r="A9" s="1495">
        <v>6172</v>
      </c>
      <c r="B9" s="1496" t="s">
        <v>160</v>
      </c>
      <c r="C9" s="1497"/>
      <c r="D9" s="821">
        <f>SUM(D10:D25)</f>
        <v>70300</v>
      </c>
      <c r="E9" s="824">
        <f>SUM(E10:E25)</f>
        <v>65768.000000000015</v>
      </c>
      <c r="F9" s="849">
        <f>SUM(F10:F25)</f>
        <v>557415</v>
      </c>
      <c r="G9" s="822">
        <f t="shared" ref="G9:H9" si="0">SUM(G10:G25)</f>
        <v>587979.96</v>
      </c>
      <c r="H9" s="823">
        <f t="shared" si="0"/>
        <v>366904.49999999994</v>
      </c>
      <c r="I9" s="409">
        <f>SUM(I10:I25)</f>
        <v>494565</v>
      </c>
      <c r="J9" s="410">
        <f>SUM(J10:J25)</f>
        <v>75116</v>
      </c>
      <c r="K9" s="411">
        <f>SUM(K10:K25)</f>
        <v>7104</v>
      </c>
      <c r="L9" s="412">
        <f>SUM(I9:K9)</f>
        <v>576785</v>
      </c>
      <c r="M9" s="413">
        <f t="shared" ref="M9:M34" si="1">L9/F9*100</f>
        <v>103.47496927782711</v>
      </c>
      <c r="N9" s="414">
        <f t="shared" ref="N9:N34" si="2">L9/G9*100</f>
        <v>98.096030347700975</v>
      </c>
      <c r="O9" s="19"/>
    </row>
    <row r="10" spans="1:16" s="20" customFormat="1" ht="15" customHeight="1" x14ac:dyDescent="0.25">
      <c r="A10" s="1462"/>
      <c r="B10" s="1491" t="s">
        <v>133</v>
      </c>
      <c r="C10" s="177" t="s">
        <v>369</v>
      </c>
      <c r="D10" s="817">
        <v>0</v>
      </c>
      <c r="E10" s="814">
        <v>0</v>
      </c>
      <c r="F10" s="813">
        <v>345724</v>
      </c>
      <c r="G10" s="815">
        <v>363087</v>
      </c>
      <c r="H10" s="816">
        <v>238536.44</v>
      </c>
      <c r="I10" s="243">
        <v>313087</v>
      </c>
      <c r="J10" s="244">
        <v>50000</v>
      </c>
      <c r="K10" s="245">
        <v>0</v>
      </c>
      <c r="L10" s="440">
        <f>SUM(I10:K10)</f>
        <v>363087</v>
      </c>
      <c r="M10" s="246">
        <f>L10/F10*100</f>
        <v>105.02221425183093</v>
      </c>
      <c r="N10" s="144">
        <f>L10/G10*100</f>
        <v>100</v>
      </c>
      <c r="O10" s="19"/>
    </row>
    <row r="11" spans="1:16" s="20" customFormat="1" ht="15" customHeight="1" x14ac:dyDescent="0.25">
      <c r="A11" s="1462"/>
      <c r="B11" s="1502"/>
      <c r="C11" s="177" t="s">
        <v>370</v>
      </c>
      <c r="D11" s="817">
        <v>0</v>
      </c>
      <c r="E11" s="818">
        <v>0</v>
      </c>
      <c r="F11" s="817">
        <v>11000</v>
      </c>
      <c r="G11" s="819">
        <v>11000</v>
      </c>
      <c r="H11" s="820">
        <v>3595.67</v>
      </c>
      <c r="I11" s="243">
        <v>7000</v>
      </c>
      <c r="J11" s="244">
        <v>2000</v>
      </c>
      <c r="K11" s="245">
        <v>2000</v>
      </c>
      <c r="L11" s="440">
        <f t="shared" ref="L11:L25" si="3">SUM(I11:K11)</f>
        <v>11000</v>
      </c>
      <c r="M11" s="246">
        <f t="shared" ref="M11:M18" si="4">L11/F11*100</f>
        <v>100</v>
      </c>
      <c r="N11" s="144">
        <f t="shared" ref="N11:N18" si="5">L11/G11*100</f>
        <v>100</v>
      </c>
      <c r="O11" s="1219"/>
      <c r="P11" s="590"/>
    </row>
    <row r="12" spans="1:16" s="20" customFormat="1" ht="15" customHeight="1" x14ac:dyDescent="0.25">
      <c r="A12" s="1462"/>
      <c r="B12" s="1502"/>
      <c r="C12" s="177" t="s">
        <v>371</v>
      </c>
      <c r="D12" s="817">
        <v>0</v>
      </c>
      <c r="E12" s="818">
        <v>0</v>
      </c>
      <c r="F12" s="817">
        <v>126351</v>
      </c>
      <c r="G12" s="819">
        <f>97089+33668+1573</f>
        <v>132330</v>
      </c>
      <c r="H12" s="820">
        <f>60688.72+21891.57+800.34</f>
        <v>83380.63</v>
      </c>
      <c r="I12" s="243">
        <v>121980</v>
      </c>
      <c r="J12" s="244">
        <v>10350</v>
      </c>
      <c r="K12" s="245">
        <v>0</v>
      </c>
      <c r="L12" s="440">
        <f t="shared" si="3"/>
        <v>132330</v>
      </c>
      <c r="M12" s="246">
        <f t="shared" si="4"/>
        <v>104.73205593940689</v>
      </c>
      <c r="N12" s="144">
        <f t="shared" si="5"/>
        <v>100</v>
      </c>
      <c r="O12" s="19"/>
    </row>
    <row r="13" spans="1:16" s="20" customFormat="1" ht="15" customHeight="1" x14ac:dyDescent="0.25">
      <c r="A13" s="1462"/>
      <c r="B13" s="1502"/>
      <c r="C13" s="177" t="s">
        <v>372</v>
      </c>
      <c r="D13" s="817">
        <v>469</v>
      </c>
      <c r="E13" s="818">
        <v>481.36</v>
      </c>
      <c r="F13" s="817">
        <v>494</v>
      </c>
      <c r="G13" s="819">
        <f>43+451</f>
        <v>494</v>
      </c>
      <c r="H13" s="820">
        <f>31.89+262.57</f>
        <v>294.45999999999998</v>
      </c>
      <c r="I13" s="243">
        <v>494</v>
      </c>
      <c r="J13" s="244">
        <v>0</v>
      </c>
      <c r="K13" s="245">
        <v>0</v>
      </c>
      <c r="L13" s="440">
        <f t="shared" si="3"/>
        <v>494</v>
      </c>
      <c r="M13" s="246">
        <f t="shared" si="4"/>
        <v>100</v>
      </c>
      <c r="N13" s="144">
        <f t="shared" si="5"/>
        <v>100</v>
      </c>
      <c r="O13" s="19"/>
    </row>
    <row r="14" spans="1:16" s="20" customFormat="1" ht="15" customHeight="1" x14ac:dyDescent="0.25">
      <c r="A14" s="1462"/>
      <c r="B14" s="1502"/>
      <c r="C14" s="177" t="s">
        <v>373</v>
      </c>
      <c r="D14" s="817">
        <v>11320</v>
      </c>
      <c r="E14" s="818">
        <v>12347.17</v>
      </c>
      <c r="F14" s="817">
        <v>13753</v>
      </c>
      <c r="G14" s="819">
        <v>14756</v>
      </c>
      <c r="H14" s="820">
        <v>5300.17</v>
      </c>
      <c r="I14" s="243">
        <v>7307</v>
      </c>
      <c r="J14" s="244">
        <v>4506</v>
      </c>
      <c r="K14" s="245">
        <v>2245</v>
      </c>
      <c r="L14" s="440">
        <f t="shared" si="3"/>
        <v>14058</v>
      </c>
      <c r="M14" s="246">
        <f t="shared" si="4"/>
        <v>102.21769795680942</v>
      </c>
      <c r="N14" s="144">
        <f t="shared" si="5"/>
        <v>95.269720791542426</v>
      </c>
      <c r="O14" s="19"/>
    </row>
    <row r="15" spans="1:16" s="22" customFormat="1" ht="15.75" customHeight="1" x14ac:dyDescent="0.25">
      <c r="A15" s="1462"/>
      <c r="B15" s="1502"/>
      <c r="C15" s="177" t="s">
        <v>446</v>
      </c>
      <c r="D15" s="817">
        <v>35</v>
      </c>
      <c r="E15" s="818">
        <v>40.18</v>
      </c>
      <c r="F15" s="817">
        <v>35</v>
      </c>
      <c r="G15" s="819">
        <v>35</v>
      </c>
      <c r="H15" s="820">
        <v>14.22</v>
      </c>
      <c r="I15" s="243">
        <v>35</v>
      </c>
      <c r="J15" s="244">
        <v>0</v>
      </c>
      <c r="K15" s="245">
        <v>0</v>
      </c>
      <c r="L15" s="440">
        <f t="shared" si="3"/>
        <v>35</v>
      </c>
      <c r="M15" s="246">
        <f t="shared" si="4"/>
        <v>100</v>
      </c>
      <c r="N15" s="144">
        <f t="shared" si="5"/>
        <v>100</v>
      </c>
      <c r="O15" s="21"/>
    </row>
    <row r="16" spans="1:16" ht="15" customHeight="1" x14ac:dyDescent="0.25">
      <c r="A16" s="1462"/>
      <c r="B16" s="1502"/>
      <c r="C16" s="177" t="s">
        <v>374</v>
      </c>
      <c r="D16" s="817">
        <v>13365</v>
      </c>
      <c r="E16" s="818">
        <v>9599.93</v>
      </c>
      <c r="F16" s="817">
        <v>12765</v>
      </c>
      <c r="G16" s="819">
        <v>12465</v>
      </c>
      <c r="H16" s="820">
        <v>6433.38</v>
      </c>
      <c r="I16" s="243">
        <v>11110</v>
      </c>
      <c r="J16" s="244">
        <v>600</v>
      </c>
      <c r="K16" s="245">
        <v>300</v>
      </c>
      <c r="L16" s="440">
        <f t="shared" si="3"/>
        <v>12010</v>
      </c>
      <c r="M16" s="246">
        <f t="shared" si="4"/>
        <v>94.085389737563645</v>
      </c>
      <c r="N16" s="144">
        <f t="shared" si="5"/>
        <v>96.349779382270356</v>
      </c>
      <c r="O16" s="19"/>
    </row>
    <row r="17" spans="1:16" ht="15" customHeight="1" x14ac:dyDescent="0.25">
      <c r="A17" s="1462"/>
      <c r="B17" s="1502"/>
      <c r="C17" s="177" t="s">
        <v>375</v>
      </c>
      <c r="D17" s="817">
        <v>33574</v>
      </c>
      <c r="E17" s="818">
        <v>25062.66</v>
      </c>
      <c r="F17" s="817">
        <v>33200</v>
      </c>
      <c r="G17" s="819">
        <v>32302</v>
      </c>
      <c r="H17" s="820">
        <v>18506.61</v>
      </c>
      <c r="I17" s="243">
        <f>21720</f>
        <v>21720</v>
      </c>
      <c r="J17" s="244">
        <v>6100</v>
      </c>
      <c r="K17" s="245">
        <v>1560</v>
      </c>
      <c r="L17" s="440">
        <f t="shared" si="3"/>
        <v>29380</v>
      </c>
      <c r="M17" s="246">
        <f t="shared" si="4"/>
        <v>88.493975903614455</v>
      </c>
      <c r="N17" s="144">
        <f t="shared" si="5"/>
        <v>90.95412048789548</v>
      </c>
      <c r="O17" s="19"/>
    </row>
    <row r="18" spans="1:16" ht="15" customHeight="1" x14ac:dyDescent="0.25">
      <c r="A18" s="1462"/>
      <c r="B18" s="1502"/>
      <c r="C18" s="177" t="s">
        <v>376</v>
      </c>
      <c r="D18" s="817">
        <v>10590</v>
      </c>
      <c r="E18" s="818">
        <v>17329.97</v>
      </c>
      <c r="F18" s="817">
        <v>10808</v>
      </c>
      <c r="G18" s="819">
        <v>17378.21</v>
      </c>
      <c r="H18" s="820">
        <v>8130.73</v>
      </c>
      <c r="I18" s="243">
        <v>8517</v>
      </c>
      <c r="J18" s="244">
        <v>1360</v>
      </c>
      <c r="K18" s="245">
        <v>909</v>
      </c>
      <c r="L18" s="440">
        <f t="shared" si="3"/>
        <v>10786</v>
      </c>
      <c r="M18" s="246">
        <f t="shared" si="4"/>
        <v>99.796447076239829</v>
      </c>
      <c r="N18" s="144">
        <f t="shared" si="5"/>
        <v>62.066231217139169</v>
      </c>
      <c r="O18" s="19"/>
    </row>
    <row r="19" spans="1:16" ht="26.25" customHeight="1" x14ac:dyDescent="0.25">
      <c r="A19" s="1462"/>
      <c r="B19" s="1502"/>
      <c r="C19" s="177" t="s">
        <v>465</v>
      </c>
      <c r="D19" s="817">
        <v>0</v>
      </c>
      <c r="E19" s="818">
        <v>175.05</v>
      </c>
      <c r="F19" s="817">
        <v>0</v>
      </c>
      <c r="G19" s="819">
        <v>0</v>
      </c>
      <c r="H19" s="820">
        <v>0</v>
      </c>
      <c r="I19" s="243">
        <v>0</v>
      </c>
      <c r="J19" s="244">
        <v>0</v>
      </c>
      <c r="K19" s="245">
        <v>0</v>
      </c>
      <c r="L19" s="440">
        <f t="shared" si="3"/>
        <v>0</v>
      </c>
      <c r="M19" s="246" t="s">
        <v>159</v>
      </c>
      <c r="N19" s="144" t="s">
        <v>159</v>
      </c>
      <c r="O19" s="19"/>
    </row>
    <row r="20" spans="1:16" ht="28.5" customHeight="1" x14ac:dyDescent="0.25">
      <c r="A20" s="1462"/>
      <c r="B20" s="1502"/>
      <c r="C20" s="177" t="s">
        <v>447</v>
      </c>
      <c r="D20" s="817">
        <v>300</v>
      </c>
      <c r="E20" s="818">
        <v>78.209999999999994</v>
      </c>
      <c r="F20" s="817">
        <v>300</v>
      </c>
      <c r="G20" s="819">
        <v>880</v>
      </c>
      <c r="H20" s="820">
        <v>800.66</v>
      </c>
      <c r="I20" s="243">
        <v>10</v>
      </c>
      <c r="J20" s="244">
        <v>200</v>
      </c>
      <c r="K20" s="245">
        <v>90</v>
      </c>
      <c r="L20" s="440">
        <f t="shared" si="3"/>
        <v>300</v>
      </c>
      <c r="M20" s="246">
        <f t="shared" ref="M20:M23" si="6">L20/F20*100</f>
        <v>100</v>
      </c>
      <c r="N20" s="144">
        <f t="shared" ref="N20:N25" si="7">L20/G20*100</f>
        <v>34.090909090909086</v>
      </c>
      <c r="O20" s="19"/>
    </row>
    <row r="21" spans="1:16" ht="29.25" customHeight="1" x14ac:dyDescent="0.25">
      <c r="A21" s="1462"/>
      <c r="B21" s="1502"/>
      <c r="C21" s="177" t="s">
        <v>378</v>
      </c>
      <c r="D21" s="817">
        <v>12</v>
      </c>
      <c r="E21" s="818">
        <v>0</v>
      </c>
      <c r="F21" s="817">
        <v>0</v>
      </c>
      <c r="G21" s="819">
        <v>0</v>
      </c>
      <c r="H21" s="820">
        <v>0</v>
      </c>
      <c r="I21" s="243">
        <v>0</v>
      </c>
      <c r="J21" s="244">
        <v>0</v>
      </c>
      <c r="K21" s="245">
        <v>0</v>
      </c>
      <c r="L21" s="440">
        <f t="shared" si="3"/>
        <v>0</v>
      </c>
      <c r="M21" s="246" t="s">
        <v>159</v>
      </c>
      <c r="N21" s="144" t="s">
        <v>159</v>
      </c>
      <c r="O21" s="19"/>
      <c r="P21" s="2"/>
    </row>
    <row r="22" spans="1:16" ht="27" customHeight="1" x14ac:dyDescent="0.25">
      <c r="A22" s="1462"/>
      <c r="B22" s="1502"/>
      <c r="C22" s="177" t="s">
        <v>466</v>
      </c>
      <c r="D22" s="817">
        <v>635</v>
      </c>
      <c r="E22" s="818">
        <v>584.64</v>
      </c>
      <c r="F22" s="817">
        <v>635</v>
      </c>
      <c r="G22" s="819">
        <v>685</v>
      </c>
      <c r="H22" s="820">
        <v>411.08</v>
      </c>
      <c r="I22" s="243">
        <v>735</v>
      </c>
      <c r="J22" s="244">
        <v>0</v>
      </c>
      <c r="K22" s="245">
        <v>0</v>
      </c>
      <c r="L22" s="440">
        <f t="shared" si="3"/>
        <v>735</v>
      </c>
      <c r="M22" s="246">
        <f t="shared" si="6"/>
        <v>115.74803149606299</v>
      </c>
      <c r="N22" s="144">
        <f t="shared" si="7"/>
        <v>107.2992700729927</v>
      </c>
      <c r="O22" s="19"/>
    </row>
    <row r="23" spans="1:16" ht="15" customHeight="1" x14ac:dyDescent="0.25">
      <c r="A23" s="1462"/>
      <c r="B23" s="1502"/>
      <c r="C23" s="177" t="s">
        <v>467</v>
      </c>
      <c r="D23" s="817">
        <v>0</v>
      </c>
      <c r="E23" s="818">
        <v>0</v>
      </c>
      <c r="F23" s="817">
        <v>2350</v>
      </c>
      <c r="G23" s="819">
        <v>2417.75</v>
      </c>
      <c r="H23" s="820">
        <v>1362.53</v>
      </c>
      <c r="I23" s="243">
        <v>2500</v>
      </c>
      <c r="J23" s="244">
        <v>0</v>
      </c>
      <c r="K23" s="245">
        <v>0</v>
      </c>
      <c r="L23" s="440">
        <f t="shared" si="3"/>
        <v>2500</v>
      </c>
      <c r="M23" s="246">
        <f t="shared" si="6"/>
        <v>106.38297872340425</v>
      </c>
      <c r="N23" s="144">
        <f t="shared" si="7"/>
        <v>103.40192327577293</v>
      </c>
      <c r="O23" s="19"/>
    </row>
    <row r="24" spans="1:16" ht="15" customHeight="1" x14ac:dyDescent="0.25">
      <c r="A24" s="1462"/>
      <c r="B24" s="1502"/>
      <c r="C24" s="177" t="s">
        <v>377</v>
      </c>
      <c r="D24" s="817">
        <v>0</v>
      </c>
      <c r="E24" s="818">
        <v>0</v>
      </c>
      <c r="F24" s="817">
        <v>0</v>
      </c>
      <c r="G24" s="819">
        <v>50</v>
      </c>
      <c r="H24" s="820">
        <v>42</v>
      </c>
      <c r="I24" s="243">
        <v>70</v>
      </c>
      <c r="J24" s="244">
        <v>0</v>
      </c>
      <c r="K24" s="245">
        <v>0</v>
      </c>
      <c r="L24" s="440">
        <f t="shared" si="3"/>
        <v>70</v>
      </c>
      <c r="M24" s="246" t="s">
        <v>159</v>
      </c>
      <c r="N24" s="144">
        <f t="shared" si="7"/>
        <v>140</v>
      </c>
      <c r="O24" s="19"/>
    </row>
    <row r="25" spans="1:16" ht="15" customHeight="1" x14ac:dyDescent="0.25">
      <c r="A25" s="1462"/>
      <c r="B25" s="1492"/>
      <c r="C25" s="177" t="s">
        <v>468</v>
      </c>
      <c r="D25" s="817">
        <v>0</v>
      </c>
      <c r="E25" s="818">
        <v>68.83</v>
      </c>
      <c r="F25" s="817">
        <v>0</v>
      </c>
      <c r="G25" s="819">
        <v>100</v>
      </c>
      <c r="H25" s="820">
        <v>95.92</v>
      </c>
      <c r="I25" s="243">
        <v>0</v>
      </c>
      <c r="J25" s="244">
        <v>0</v>
      </c>
      <c r="K25" s="245">
        <v>0</v>
      </c>
      <c r="L25" s="440">
        <f t="shared" si="3"/>
        <v>0</v>
      </c>
      <c r="M25" s="246" t="s">
        <v>159</v>
      </c>
      <c r="N25" s="144">
        <f t="shared" si="7"/>
        <v>0</v>
      </c>
      <c r="O25" s="19"/>
    </row>
    <row r="26" spans="1:16" ht="15" customHeight="1" x14ac:dyDescent="0.2">
      <c r="A26" s="1462"/>
      <c r="B26" s="1491" t="s">
        <v>133</v>
      </c>
      <c r="C26" s="907" t="s">
        <v>233</v>
      </c>
      <c r="D26" s="939">
        <v>0</v>
      </c>
      <c r="E26" s="940">
        <v>0</v>
      </c>
      <c r="F26" s="939">
        <v>483075</v>
      </c>
      <c r="G26" s="941">
        <v>506417</v>
      </c>
      <c r="H26" s="942">
        <v>325512.74</v>
      </c>
      <c r="I26" s="943">
        <v>442067</v>
      </c>
      <c r="J26" s="944">
        <v>62350</v>
      </c>
      <c r="K26" s="945">
        <v>2000</v>
      </c>
      <c r="L26" s="440">
        <f t="shared" ref="L26:L33" si="8">SUM(I26:K26)</f>
        <v>506417</v>
      </c>
      <c r="M26" s="946">
        <f t="shared" si="1"/>
        <v>104.83196191067638</v>
      </c>
      <c r="N26" s="947">
        <f t="shared" si="2"/>
        <v>100</v>
      </c>
    </row>
    <row r="27" spans="1:16" ht="15" customHeight="1" x14ac:dyDescent="0.2">
      <c r="A27" s="1463"/>
      <c r="B27" s="1492"/>
      <c r="C27" s="901" t="s">
        <v>234</v>
      </c>
      <c r="D27" s="939">
        <v>8075</v>
      </c>
      <c r="E27" s="940">
        <v>14399</v>
      </c>
      <c r="F27" s="939">
        <v>8681</v>
      </c>
      <c r="G27" s="941">
        <v>15206</v>
      </c>
      <c r="H27" s="942">
        <v>6890</v>
      </c>
      <c r="I27" s="943">
        <v>7600</v>
      </c>
      <c r="J27" s="944">
        <v>600</v>
      </c>
      <c r="K27" s="945">
        <v>509</v>
      </c>
      <c r="L27" s="440">
        <f t="shared" si="8"/>
        <v>8709</v>
      </c>
      <c r="M27" s="946">
        <f t="shared" si="1"/>
        <v>100.32254348577352</v>
      </c>
      <c r="N27" s="947">
        <f t="shared" si="2"/>
        <v>57.273444692884389</v>
      </c>
    </row>
    <row r="28" spans="1:16" ht="15" x14ac:dyDescent="0.25">
      <c r="A28" s="1461">
        <v>6223</v>
      </c>
      <c r="B28" s="1498" t="s">
        <v>252</v>
      </c>
      <c r="C28" s="1499"/>
      <c r="D28" s="417">
        <v>0</v>
      </c>
      <c r="E28" s="418">
        <v>0</v>
      </c>
      <c r="F28" s="417">
        <v>600</v>
      </c>
      <c r="G28" s="419">
        <v>600</v>
      </c>
      <c r="H28" s="420">
        <v>296.19</v>
      </c>
      <c r="I28" s="372">
        <f>SUM(I29:I31)</f>
        <v>390</v>
      </c>
      <c r="J28" s="421">
        <f t="shared" ref="J28:K28" si="9">SUM(J29:J31)</f>
        <v>200</v>
      </c>
      <c r="K28" s="422">
        <f t="shared" si="9"/>
        <v>200</v>
      </c>
      <c r="L28" s="415">
        <f t="shared" si="8"/>
        <v>790</v>
      </c>
      <c r="M28" s="423">
        <f t="shared" si="1"/>
        <v>131.66666666666666</v>
      </c>
      <c r="N28" s="424">
        <f t="shared" si="2"/>
        <v>131.66666666666666</v>
      </c>
    </row>
    <row r="29" spans="1:16" ht="15" x14ac:dyDescent="0.25">
      <c r="A29" s="1462"/>
      <c r="B29" s="1491" t="s">
        <v>133</v>
      </c>
      <c r="C29" s="844" t="s">
        <v>375</v>
      </c>
      <c r="D29" s="417">
        <v>0</v>
      </c>
      <c r="E29" s="418">
        <v>0</v>
      </c>
      <c r="F29" s="417">
        <v>0</v>
      </c>
      <c r="G29" s="419">
        <v>0</v>
      </c>
      <c r="H29" s="420">
        <v>5.6</v>
      </c>
      <c r="I29" s="810">
        <v>10</v>
      </c>
      <c r="J29" s="811">
        <v>0</v>
      </c>
      <c r="K29" s="812">
        <v>0</v>
      </c>
      <c r="L29" s="440">
        <f>SUM(I29:K29)</f>
        <v>10</v>
      </c>
      <c r="M29" s="423" t="s">
        <v>71</v>
      </c>
      <c r="N29" s="424" t="s">
        <v>71</v>
      </c>
    </row>
    <row r="30" spans="1:16" ht="15" x14ac:dyDescent="0.25">
      <c r="A30" s="1462"/>
      <c r="B30" s="1502"/>
      <c r="C30" s="844" t="s">
        <v>376</v>
      </c>
      <c r="D30" s="417">
        <v>0</v>
      </c>
      <c r="E30" s="418">
        <v>0</v>
      </c>
      <c r="F30" s="417">
        <v>0</v>
      </c>
      <c r="G30" s="419">
        <v>0</v>
      </c>
      <c r="H30" s="420">
        <f>287.87+2.7</f>
        <v>290.57</v>
      </c>
      <c r="I30" s="243">
        <v>370</v>
      </c>
      <c r="J30" s="245">
        <v>200</v>
      </c>
      <c r="K30" s="808">
        <v>200</v>
      </c>
      <c r="L30" s="440">
        <f t="shared" ref="L30:L31" si="10">SUM(I30:K30)</f>
        <v>770</v>
      </c>
      <c r="M30" s="423" t="s">
        <v>71</v>
      </c>
      <c r="N30" s="424" t="s">
        <v>71</v>
      </c>
    </row>
    <row r="31" spans="1:16" ht="26.25" x14ac:dyDescent="0.25">
      <c r="A31" s="1463"/>
      <c r="B31" s="1492"/>
      <c r="C31" s="177" t="s">
        <v>447</v>
      </c>
      <c r="D31" s="417">
        <v>0</v>
      </c>
      <c r="E31" s="418">
        <v>0</v>
      </c>
      <c r="F31" s="417">
        <v>0</v>
      </c>
      <c r="G31" s="419">
        <v>0</v>
      </c>
      <c r="H31" s="420">
        <v>0</v>
      </c>
      <c r="I31" s="243">
        <v>10</v>
      </c>
      <c r="J31" s="245">
        <v>0</v>
      </c>
      <c r="K31" s="809">
        <v>0</v>
      </c>
      <c r="L31" s="440">
        <f t="shared" si="10"/>
        <v>10</v>
      </c>
      <c r="M31" s="423" t="s">
        <v>71</v>
      </c>
      <c r="N31" s="424" t="s">
        <v>71</v>
      </c>
    </row>
    <row r="32" spans="1:16" ht="15" x14ac:dyDescent="0.25">
      <c r="A32" s="386">
        <v>6330</v>
      </c>
      <c r="B32" s="1498" t="s">
        <v>318</v>
      </c>
      <c r="C32" s="1499"/>
      <c r="D32" s="425">
        <v>0</v>
      </c>
      <c r="E32" s="426">
        <v>0</v>
      </c>
      <c r="F32" s="425">
        <v>0</v>
      </c>
      <c r="G32" s="427">
        <v>14523</v>
      </c>
      <c r="H32" s="428">
        <v>10718.75</v>
      </c>
      <c r="I32" s="384">
        <v>0</v>
      </c>
      <c r="J32" s="429">
        <v>0</v>
      </c>
      <c r="K32" s="430">
        <v>0</v>
      </c>
      <c r="L32" s="415">
        <f t="shared" si="8"/>
        <v>0</v>
      </c>
      <c r="M32" s="423" t="s">
        <v>71</v>
      </c>
      <c r="N32" s="424">
        <f t="shared" ref="N32" si="11">L32/G32*100</f>
        <v>0</v>
      </c>
    </row>
    <row r="33" spans="1:14" ht="15.75" thickBot="1" x14ac:dyDescent="0.3">
      <c r="A33" s="386">
        <v>6409</v>
      </c>
      <c r="B33" s="1498" t="s">
        <v>235</v>
      </c>
      <c r="C33" s="1499"/>
      <c r="D33" s="432">
        <v>0</v>
      </c>
      <c r="E33" s="433">
        <v>0</v>
      </c>
      <c r="F33" s="432">
        <v>13829</v>
      </c>
      <c r="G33" s="434">
        <v>0</v>
      </c>
      <c r="H33" s="435">
        <v>0</v>
      </c>
      <c r="I33" s="436">
        <v>12376</v>
      </c>
      <c r="J33" s="437">
        <v>1431</v>
      </c>
      <c r="K33" s="438">
        <v>716</v>
      </c>
      <c r="L33" s="439">
        <f t="shared" si="8"/>
        <v>14523</v>
      </c>
      <c r="M33" s="731">
        <f t="shared" si="1"/>
        <v>105.01843951117218</v>
      </c>
      <c r="N33" s="732" t="s">
        <v>71</v>
      </c>
    </row>
    <row r="34" spans="1:14" ht="16.5" thickBot="1" x14ac:dyDescent="0.3">
      <c r="A34" s="963"/>
      <c r="B34" s="1500" t="s">
        <v>99</v>
      </c>
      <c r="C34" s="1501"/>
      <c r="D34" s="964">
        <f t="shared" ref="D34:L34" si="12">+D9+D28+D32+D33</f>
        <v>70300</v>
      </c>
      <c r="E34" s="965">
        <f t="shared" si="12"/>
        <v>65768.000000000015</v>
      </c>
      <c r="F34" s="966">
        <f t="shared" si="12"/>
        <v>571844</v>
      </c>
      <c r="G34" s="967">
        <f t="shared" si="12"/>
        <v>603102.96</v>
      </c>
      <c r="H34" s="968">
        <f t="shared" si="12"/>
        <v>377919.43999999994</v>
      </c>
      <c r="I34" s="966">
        <f>+I9+I28+I32+I33</f>
        <v>507331</v>
      </c>
      <c r="J34" s="969">
        <f t="shared" si="12"/>
        <v>76747</v>
      </c>
      <c r="K34" s="970">
        <f t="shared" si="12"/>
        <v>8020</v>
      </c>
      <c r="L34" s="247">
        <f t="shared" si="12"/>
        <v>592098</v>
      </c>
      <c r="M34" s="971">
        <f t="shared" si="1"/>
        <v>103.54187505683367</v>
      </c>
      <c r="N34" s="972">
        <f t="shared" si="2"/>
        <v>98.175276738817544</v>
      </c>
    </row>
    <row r="35" spans="1:14" ht="15" x14ac:dyDescent="0.25">
      <c r="A35" s="151"/>
      <c r="B35" s="23"/>
      <c r="C35" s="23"/>
      <c r="D35" s="910"/>
      <c r="E35" s="909"/>
      <c r="F35" s="910"/>
      <c r="G35" s="913"/>
      <c r="H35" s="913"/>
      <c r="I35" s="237"/>
      <c r="J35" s="237"/>
      <c r="K35" s="237"/>
      <c r="L35" s="237"/>
      <c r="M35" s="28"/>
      <c r="N35" s="29"/>
    </row>
    <row r="36" spans="1:14" ht="15" x14ac:dyDescent="0.25">
      <c r="A36" s="151"/>
      <c r="B36" s="23"/>
      <c r="C36" s="23"/>
      <c r="D36" s="910"/>
      <c r="E36" s="909"/>
      <c r="F36" s="910"/>
      <c r="G36" s="909"/>
      <c r="H36" s="909"/>
      <c r="I36" s="237"/>
      <c r="J36" s="237"/>
      <c r="K36" s="237"/>
      <c r="L36" s="237"/>
      <c r="M36" s="28"/>
      <c r="N36" s="29"/>
    </row>
    <row r="37" spans="1:14" ht="15" x14ac:dyDescent="0.25">
      <c r="A37" s="151"/>
      <c r="B37" s="23"/>
      <c r="C37" s="23"/>
      <c r="D37" s="24"/>
      <c r="E37" s="25"/>
      <c r="F37" s="24"/>
      <c r="G37" s="24"/>
      <c r="H37" s="24"/>
      <c r="I37" s="27"/>
      <c r="J37" s="27"/>
      <c r="K37" s="27"/>
      <c r="L37" s="27"/>
      <c r="M37" s="28"/>
      <c r="N37" s="29"/>
    </row>
    <row r="38" spans="1:14" ht="15" x14ac:dyDescent="0.25">
      <c r="A38" s="151"/>
      <c r="B38" s="23"/>
      <c r="C38" s="23"/>
      <c r="D38" s="24"/>
      <c r="E38" s="25"/>
      <c r="F38" s="24"/>
      <c r="G38" s="26"/>
      <c r="H38" s="26"/>
      <c r="I38" s="27"/>
      <c r="J38" s="27"/>
      <c r="K38" s="27"/>
      <c r="L38" s="27"/>
      <c r="M38" s="28"/>
      <c r="N38" s="29"/>
    </row>
    <row r="39" spans="1:14" x14ac:dyDescent="0.2">
      <c r="A39" s="153"/>
      <c r="B39" s="2"/>
      <c r="C39" s="2"/>
      <c r="D39" s="3"/>
      <c r="F39" s="3"/>
      <c r="I39" s="4"/>
      <c r="J39" s="5"/>
      <c r="K39" s="5"/>
      <c r="L39" s="1"/>
      <c r="M39" s="1"/>
      <c r="N39" s="29"/>
    </row>
    <row r="44" spans="1:14" x14ac:dyDescent="0.2">
      <c r="A44" s="152"/>
    </row>
    <row r="45" spans="1:14" x14ac:dyDescent="0.2">
      <c r="A45" s="152"/>
    </row>
    <row r="46" spans="1:14" x14ac:dyDescent="0.2">
      <c r="A46" s="152"/>
    </row>
    <row r="48" spans="1:14" x14ac:dyDescent="0.2">
      <c r="A48" s="152"/>
    </row>
    <row r="49" spans="1:14" x14ac:dyDescent="0.2">
      <c r="A49" s="15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18">
    <mergeCell ref="B6:C7"/>
    <mergeCell ref="A2:N2"/>
    <mergeCell ref="A6:A7"/>
    <mergeCell ref="D6:E6"/>
    <mergeCell ref="F6:H6"/>
    <mergeCell ref="I6:L6"/>
    <mergeCell ref="M6:M7"/>
    <mergeCell ref="N6:N7"/>
    <mergeCell ref="B33:C33"/>
    <mergeCell ref="B34:C34"/>
    <mergeCell ref="B10:B25"/>
    <mergeCell ref="B26:B27"/>
    <mergeCell ref="B29:B31"/>
    <mergeCell ref="A28:A31"/>
    <mergeCell ref="A9:A27"/>
    <mergeCell ref="B9:C9"/>
    <mergeCell ref="B28:C28"/>
    <mergeCell ref="B32:C32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2" workbookViewId="0">
      <selection activeCell="A2" sqref="A2"/>
    </sheetView>
  </sheetViews>
  <sheetFormatPr defaultRowHeight="12.75" x14ac:dyDescent="0.2"/>
  <cols>
    <col min="1" max="1" width="7.7109375" style="1" customWidth="1"/>
    <col min="2" max="2" width="6.7109375" style="178" customWidth="1"/>
    <col min="3" max="3" width="41.7109375" style="1" customWidth="1"/>
    <col min="4" max="4" width="14.7109375" style="2" customWidth="1"/>
    <col min="5" max="5" width="13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6" style="2" customWidth="1"/>
    <col min="11" max="11" width="14.7109375" style="2" customWidth="1"/>
    <col min="12" max="12" width="14.7109375" style="4" customWidth="1"/>
    <col min="13" max="14" width="9.7109375" style="5" customWidth="1"/>
    <col min="15" max="257" width="9.140625" style="1"/>
    <col min="258" max="258" width="6.7109375" style="1" customWidth="1"/>
    <col min="259" max="259" width="39.85546875" style="1" customWidth="1"/>
    <col min="260" max="260" width="12.5703125" style="1" customWidth="1"/>
    <col min="261" max="262" width="13" style="1" customWidth="1"/>
    <col min="263" max="263" width="14" style="1" customWidth="1"/>
    <col min="264" max="264" width="12" style="1" customWidth="1"/>
    <col min="265" max="265" width="14.7109375" style="1" customWidth="1"/>
    <col min="266" max="266" width="13.140625" style="1" customWidth="1"/>
    <col min="267" max="267" width="11.7109375" style="1" customWidth="1"/>
    <col min="268" max="268" width="12.7109375" style="1" customWidth="1"/>
    <col min="269" max="270" width="7.42578125" style="1" customWidth="1"/>
    <col min="271" max="513" width="9.140625" style="1"/>
    <col min="514" max="514" width="6.7109375" style="1" customWidth="1"/>
    <col min="515" max="515" width="39.85546875" style="1" customWidth="1"/>
    <col min="516" max="516" width="12.5703125" style="1" customWidth="1"/>
    <col min="517" max="518" width="13" style="1" customWidth="1"/>
    <col min="519" max="519" width="14" style="1" customWidth="1"/>
    <col min="520" max="520" width="12" style="1" customWidth="1"/>
    <col min="521" max="521" width="14.7109375" style="1" customWidth="1"/>
    <col min="522" max="522" width="13.140625" style="1" customWidth="1"/>
    <col min="523" max="523" width="11.7109375" style="1" customWidth="1"/>
    <col min="524" max="524" width="12.7109375" style="1" customWidth="1"/>
    <col min="525" max="526" width="7.42578125" style="1" customWidth="1"/>
    <col min="527" max="769" width="9.140625" style="1"/>
    <col min="770" max="770" width="6.7109375" style="1" customWidth="1"/>
    <col min="771" max="771" width="39.85546875" style="1" customWidth="1"/>
    <col min="772" max="772" width="12.5703125" style="1" customWidth="1"/>
    <col min="773" max="774" width="13" style="1" customWidth="1"/>
    <col min="775" max="775" width="14" style="1" customWidth="1"/>
    <col min="776" max="776" width="12" style="1" customWidth="1"/>
    <col min="777" max="777" width="14.7109375" style="1" customWidth="1"/>
    <col min="778" max="778" width="13.140625" style="1" customWidth="1"/>
    <col min="779" max="779" width="11.7109375" style="1" customWidth="1"/>
    <col min="780" max="780" width="12.7109375" style="1" customWidth="1"/>
    <col min="781" max="782" width="7.42578125" style="1" customWidth="1"/>
    <col min="783" max="1025" width="9.140625" style="1"/>
    <col min="1026" max="1026" width="6.7109375" style="1" customWidth="1"/>
    <col min="1027" max="1027" width="39.85546875" style="1" customWidth="1"/>
    <col min="1028" max="1028" width="12.5703125" style="1" customWidth="1"/>
    <col min="1029" max="1030" width="13" style="1" customWidth="1"/>
    <col min="1031" max="1031" width="14" style="1" customWidth="1"/>
    <col min="1032" max="1032" width="12" style="1" customWidth="1"/>
    <col min="1033" max="1033" width="14.7109375" style="1" customWidth="1"/>
    <col min="1034" max="1034" width="13.140625" style="1" customWidth="1"/>
    <col min="1035" max="1035" width="11.7109375" style="1" customWidth="1"/>
    <col min="1036" max="1036" width="12.7109375" style="1" customWidth="1"/>
    <col min="1037" max="1038" width="7.42578125" style="1" customWidth="1"/>
    <col min="1039" max="1281" width="9.140625" style="1"/>
    <col min="1282" max="1282" width="6.7109375" style="1" customWidth="1"/>
    <col min="1283" max="1283" width="39.85546875" style="1" customWidth="1"/>
    <col min="1284" max="1284" width="12.5703125" style="1" customWidth="1"/>
    <col min="1285" max="1286" width="13" style="1" customWidth="1"/>
    <col min="1287" max="1287" width="14" style="1" customWidth="1"/>
    <col min="1288" max="1288" width="12" style="1" customWidth="1"/>
    <col min="1289" max="1289" width="14.7109375" style="1" customWidth="1"/>
    <col min="1290" max="1290" width="13.140625" style="1" customWidth="1"/>
    <col min="1291" max="1291" width="11.7109375" style="1" customWidth="1"/>
    <col min="1292" max="1292" width="12.7109375" style="1" customWidth="1"/>
    <col min="1293" max="1294" width="7.42578125" style="1" customWidth="1"/>
    <col min="1295" max="1537" width="9.140625" style="1"/>
    <col min="1538" max="1538" width="6.7109375" style="1" customWidth="1"/>
    <col min="1539" max="1539" width="39.85546875" style="1" customWidth="1"/>
    <col min="1540" max="1540" width="12.5703125" style="1" customWidth="1"/>
    <col min="1541" max="1542" width="13" style="1" customWidth="1"/>
    <col min="1543" max="1543" width="14" style="1" customWidth="1"/>
    <col min="1544" max="1544" width="12" style="1" customWidth="1"/>
    <col min="1545" max="1545" width="14.7109375" style="1" customWidth="1"/>
    <col min="1546" max="1546" width="13.140625" style="1" customWidth="1"/>
    <col min="1547" max="1547" width="11.7109375" style="1" customWidth="1"/>
    <col min="1548" max="1548" width="12.7109375" style="1" customWidth="1"/>
    <col min="1549" max="1550" width="7.42578125" style="1" customWidth="1"/>
    <col min="1551" max="1793" width="9.140625" style="1"/>
    <col min="1794" max="1794" width="6.7109375" style="1" customWidth="1"/>
    <col min="1795" max="1795" width="39.85546875" style="1" customWidth="1"/>
    <col min="1796" max="1796" width="12.5703125" style="1" customWidth="1"/>
    <col min="1797" max="1798" width="13" style="1" customWidth="1"/>
    <col min="1799" max="1799" width="14" style="1" customWidth="1"/>
    <col min="1800" max="1800" width="12" style="1" customWidth="1"/>
    <col min="1801" max="1801" width="14.7109375" style="1" customWidth="1"/>
    <col min="1802" max="1802" width="13.140625" style="1" customWidth="1"/>
    <col min="1803" max="1803" width="11.7109375" style="1" customWidth="1"/>
    <col min="1804" max="1804" width="12.7109375" style="1" customWidth="1"/>
    <col min="1805" max="1806" width="7.42578125" style="1" customWidth="1"/>
    <col min="1807" max="2049" width="9.140625" style="1"/>
    <col min="2050" max="2050" width="6.7109375" style="1" customWidth="1"/>
    <col min="2051" max="2051" width="39.85546875" style="1" customWidth="1"/>
    <col min="2052" max="2052" width="12.5703125" style="1" customWidth="1"/>
    <col min="2053" max="2054" width="13" style="1" customWidth="1"/>
    <col min="2055" max="2055" width="14" style="1" customWidth="1"/>
    <col min="2056" max="2056" width="12" style="1" customWidth="1"/>
    <col min="2057" max="2057" width="14.7109375" style="1" customWidth="1"/>
    <col min="2058" max="2058" width="13.140625" style="1" customWidth="1"/>
    <col min="2059" max="2059" width="11.7109375" style="1" customWidth="1"/>
    <col min="2060" max="2060" width="12.7109375" style="1" customWidth="1"/>
    <col min="2061" max="2062" width="7.42578125" style="1" customWidth="1"/>
    <col min="2063" max="2305" width="9.140625" style="1"/>
    <col min="2306" max="2306" width="6.7109375" style="1" customWidth="1"/>
    <col min="2307" max="2307" width="39.85546875" style="1" customWidth="1"/>
    <col min="2308" max="2308" width="12.5703125" style="1" customWidth="1"/>
    <col min="2309" max="2310" width="13" style="1" customWidth="1"/>
    <col min="2311" max="2311" width="14" style="1" customWidth="1"/>
    <col min="2312" max="2312" width="12" style="1" customWidth="1"/>
    <col min="2313" max="2313" width="14.7109375" style="1" customWidth="1"/>
    <col min="2314" max="2314" width="13.140625" style="1" customWidth="1"/>
    <col min="2315" max="2315" width="11.7109375" style="1" customWidth="1"/>
    <col min="2316" max="2316" width="12.7109375" style="1" customWidth="1"/>
    <col min="2317" max="2318" width="7.42578125" style="1" customWidth="1"/>
    <col min="2319" max="2561" width="9.140625" style="1"/>
    <col min="2562" max="2562" width="6.7109375" style="1" customWidth="1"/>
    <col min="2563" max="2563" width="39.85546875" style="1" customWidth="1"/>
    <col min="2564" max="2564" width="12.5703125" style="1" customWidth="1"/>
    <col min="2565" max="2566" width="13" style="1" customWidth="1"/>
    <col min="2567" max="2567" width="14" style="1" customWidth="1"/>
    <col min="2568" max="2568" width="12" style="1" customWidth="1"/>
    <col min="2569" max="2569" width="14.7109375" style="1" customWidth="1"/>
    <col min="2570" max="2570" width="13.140625" style="1" customWidth="1"/>
    <col min="2571" max="2571" width="11.7109375" style="1" customWidth="1"/>
    <col min="2572" max="2572" width="12.7109375" style="1" customWidth="1"/>
    <col min="2573" max="2574" width="7.42578125" style="1" customWidth="1"/>
    <col min="2575" max="2817" width="9.140625" style="1"/>
    <col min="2818" max="2818" width="6.7109375" style="1" customWidth="1"/>
    <col min="2819" max="2819" width="39.85546875" style="1" customWidth="1"/>
    <col min="2820" max="2820" width="12.5703125" style="1" customWidth="1"/>
    <col min="2821" max="2822" width="13" style="1" customWidth="1"/>
    <col min="2823" max="2823" width="14" style="1" customWidth="1"/>
    <col min="2824" max="2824" width="12" style="1" customWidth="1"/>
    <col min="2825" max="2825" width="14.7109375" style="1" customWidth="1"/>
    <col min="2826" max="2826" width="13.140625" style="1" customWidth="1"/>
    <col min="2827" max="2827" width="11.7109375" style="1" customWidth="1"/>
    <col min="2828" max="2828" width="12.7109375" style="1" customWidth="1"/>
    <col min="2829" max="2830" width="7.42578125" style="1" customWidth="1"/>
    <col min="2831" max="3073" width="9.140625" style="1"/>
    <col min="3074" max="3074" width="6.7109375" style="1" customWidth="1"/>
    <col min="3075" max="3075" width="39.85546875" style="1" customWidth="1"/>
    <col min="3076" max="3076" width="12.5703125" style="1" customWidth="1"/>
    <col min="3077" max="3078" width="13" style="1" customWidth="1"/>
    <col min="3079" max="3079" width="14" style="1" customWidth="1"/>
    <col min="3080" max="3080" width="12" style="1" customWidth="1"/>
    <col min="3081" max="3081" width="14.7109375" style="1" customWidth="1"/>
    <col min="3082" max="3082" width="13.140625" style="1" customWidth="1"/>
    <col min="3083" max="3083" width="11.7109375" style="1" customWidth="1"/>
    <col min="3084" max="3084" width="12.7109375" style="1" customWidth="1"/>
    <col min="3085" max="3086" width="7.42578125" style="1" customWidth="1"/>
    <col min="3087" max="3329" width="9.140625" style="1"/>
    <col min="3330" max="3330" width="6.7109375" style="1" customWidth="1"/>
    <col min="3331" max="3331" width="39.85546875" style="1" customWidth="1"/>
    <col min="3332" max="3332" width="12.5703125" style="1" customWidth="1"/>
    <col min="3333" max="3334" width="13" style="1" customWidth="1"/>
    <col min="3335" max="3335" width="14" style="1" customWidth="1"/>
    <col min="3336" max="3336" width="12" style="1" customWidth="1"/>
    <col min="3337" max="3337" width="14.7109375" style="1" customWidth="1"/>
    <col min="3338" max="3338" width="13.140625" style="1" customWidth="1"/>
    <col min="3339" max="3339" width="11.7109375" style="1" customWidth="1"/>
    <col min="3340" max="3340" width="12.7109375" style="1" customWidth="1"/>
    <col min="3341" max="3342" width="7.42578125" style="1" customWidth="1"/>
    <col min="3343" max="3585" width="9.140625" style="1"/>
    <col min="3586" max="3586" width="6.7109375" style="1" customWidth="1"/>
    <col min="3587" max="3587" width="39.85546875" style="1" customWidth="1"/>
    <col min="3588" max="3588" width="12.5703125" style="1" customWidth="1"/>
    <col min="3589" max="3590" width="13" style="1" customWidth="1"/>
    <col min="3591" max="3591" width="14" style="1" customWidth="1"/>
    <col min="3592" max="3592" width="12" style="1" customWidth="1"/>
    <col min="3593" max="3593" width="14.7109375" style="1" customWidth="1"/>
    <col min="3594" max="3594" width="13.140625" style="1" customWidth="1"/>
    <col min="3595" max="3595" width="11.7109375" style="1" customWidth="1"/>
    <col min="3596" max="3596" width="12.7109375" style="1" customWidth="1"/>
    <col min="3597" max="3598" width="7.42578125" style="1" customWidth="1"/>
    <col min="3599" max="3841" width="9.140625" style="1"/>
    <col min="3842" max="3842" width="6.7109375" style="1" customWidth="1"/>
    <col min="3843" max="3843" width="39.85546875" style="1" customWidth="1"/>
    <col min="3844" max="3844" width="12.5703125" style="1" customWidth="1"/>
    <col min="3845" max="3846" width="13" style="1" customWidth="1"/>
    <col min="3847" max="3847" width="14" style="1" customWidth="1"/>
    <col min="3848" max="3848" width="12" style="1" customWidth="1"/>
    <col min="3849" max="3849" width="14.7109375" style="1" customWidth="1"/>
    <col min="3850" max="3850" width="13.140625" style="1" customWidth="1"/>
    <col min="3851" max="3851" width="11.7109375" style="1" customWidth="1"/>
    <col min="3852" max="3852" width="12.7109375" style="1" customWidth="1"/>
    <col min="3853" max="3854" width="7.42578125" style="1" customWidth="1"/>
    <col min="3855" max="4097" width="9.140625" style="1"/>
    <col min="4098" max="4098" width="6.7109375" style="1" customWidth="1"/>
    <col min="4099" max="4099" width="39.85546875" style="1" customWidth="1"/>
    <col min="4100" max="4100" width="12.5703125" style="1" customWidth="1"/>
    <col min="4101" max="4102" width="13" style="1" customWidth="1"/>
    <col min="4103" max="4103" width="14" style="1" customWidth="1"/>
    <col min="4104" max="4104" width="12" style="1" customWidth="1"/>
    <col min="4105" max="4105" width="14.7109375" style="1" customWidth="1"/>
    <col min="4106" max="4106" width="13.140625" style="1" customWidth="1"/>
    <col min="4107" max="4107" width="11.7109375" style="1" customWidth="1"/>
    <col min="4108" max="4108" width="12.7109375" style="1" customWidth="1"/>
    <col min="4109" max="4110" width="7.42578125" style="1" customWidth="1"/>
    <col min="4111" max="4353" width="9.140625" style="1"/>
    <col min="4354" max="4354" width="6.7109375" style="1" customWidth="1"/>
    <col min="4355" max="4355" width="39.85546875" style="1" customWidth="1"/>
    <col min="4356" max="4356" width="12.5703125" style="1" customWidth="1"/>
    <col min="4357" max="4358" width="13" style="1" customWidth="1"/>
    <col min="4359" max="4359" width="14" style="1" customWidth="1"/>
    <col min="4360" max="4360" width="12" style="1" customWidth="1"/>
    <col min="4361" max="4361" width="14.7109375" style="1" customWidth="1"/>
    <col min="4362" max="4362" width="13.140625" style="1" customWidth="1"/>
    <col min="4363" max="4363" width="11.7109375" style="1" customWidth="1"/>
    <col min="4364" max="4364" width="12.7109375" style="1" customWidth="1"/>
    <col min="4365" max="4366" width="7.42578125" style="1" customWidth="1"/>
    <col min="4367" max="4609" width="9.140625" style="1"/>
    <col min="4610" max="4610" width="6.7109375" style="1" customWidth="1"/>
    <col min="4611" max="4611" width="39.85546875" style="1" customWidth="1"/>
    <col min="4612" max="4612" width="12.5703125" style="1" customWidth="1"/>
    <col min="4613" max="4614" width="13" style="1" customWidth="1"/>
    <col min="4615" max="4615" width="14" style="1" customWidth="1"/>
    <col min="4616" max="4616" width="12" style="1" customWidth="1"/>
    <col min="4617" max="4617" width="14.7109375" style="1" customWidth="1"/>
    <col min="4618" max="4618" width="13.140625" style="1" customWidth="1"/>
    <col min="4619" max="4619" width="11.7109375" style="1" customWidth="1"/>
    <col min="4620" max="4620" width="12.7109375" style="1" customWidth="1"/>
    <col min="4621" max="4622" width="7.42578125" style="1" customWidth="1"/>
    <col min="4623" max="4865" width="9.140625" style="1"/>
    <col min="4866" max="4866" width="6.7109375" style="1" customWidth="1"/>
    <col min="4867" max="4867" width="39.85546875" style="1" customWidth="1"/>
    <col min="4868" max="4868" width="12.5703125" style="1" customWidth="1"/>
    <col min="4869" max="4870" width="13" style="1" customWidth="1"/>
    <col min="4871" max="4871" width="14" style="1" customWidth="1"/>
    <col min="4872" max="4872" width="12" style="1" customWidth="1"/>
    <col min="4873" max="4873" width="14.7109375" style="1" customWidth="1"/>
    <col min="4874" max="4874" width="13.140625" style="1" customWidth="1"/>
    <col min="4875" max="4875" width="11.7109375" style="1" customWidth="1"/>
    <col min="4876" max="4876" width="12.7109375" style="1" customWidth="1"/>
    <col min="4877" max="4878" width="7.42578125" style="1" customWidth="1"/>
    <col min="4879" max="5121" width="9.140625" style="1"/>
    <col min="5122" max="5122" width="6.7109375" style="1" customWidth="1"/>
    <col min="5123" max="5123" width="39.85546875" style="1" customWidth="1"/>
    <col min="5124" max="5124" width="12.5703125" style="1" customWidth="1"/>
    <col min="5125" max="5126" width="13" style="1" customWidth="1"/>
    <col min="5127" max="5127" width="14" style="1" customWidth="1"/>
    <col min="5128" max="5128" width="12" style="1" customWidth="1"/>
    <col min="5129" max="5129" width="14.7109375" style="1" customWidth="1"/>
    <col min="5130" max="5130" width="13.140625" style="1" customWidth="1"/>
    <col min="5131" max="5131" width="11.7109375" style="1" customWidth="1"/>
    <col min="5132" max="5132" width="12.7109375" style="1" customWidth="1"/>
    <col min="5133" max="5134" width="7.42578125" style="1" customWidth="1"/>
    <col min="5135" max="5377" width="9.140625" style="1"/>
    <col min="5378" max="5378" width="6.7109375" style="1" customWidth="1"/>
    <col min="5379" max="5379" width="39.85546875" style="1" customWidth="1"/>
    <col min="5380" max="5380" width="12.5703125" style="1" customWidth="1"/>
    <col min="5381" max="5382" width="13" style="1" customWidth="1"/>
    <col min="5383" max="5383" width="14" style="1" customWidth="1"/>
    <col min="5384" max="5384" width="12" style="1" customWidth="1"/>
    <col min="5385" max="5385" width="14.7109375" style="1" customWidth="1"/>
    <col min="5386" max="5386" width="13.140625" style="1" customWidth="1"/>
    <col min="5387" max="5387" width="11.7109375" style="1" customWidth="1"/>
    <col min="5388" max="5388" width="12.7109375" style="1" customWidth="1"/>
    <col min="5389" max="5390" width="7.42578125" style="1" customWidth="1"/>
    <col min="5391" max="5633" width="9.140625" style="1"/>
    <col min="5634" max="5634" width="6.7109375" style="1" customWidth="1"/>
    <col min="5635" max="5635" width="39.85546875" style="1" customWidth="1"/>
    <col min="5636" max="5636" width="12.5703125" style="1" customWidth="1"/>
    <col min="5637" max="5638" width="13" style="1" customWidth="1"/>
    <col min="5639" max="5639" width="14" style="1" customWidth="1"/>
    <col min="5640" max="5640" width="12" style="1" customWidth="1"/>
    <col min="5641" max="5641" width="14.7109375" style="1" customWidth="1"/>
    <col min="5642" max="5642" width="13.140625" style="1" customWidth="1"/>
    <col min="5643" max="5643" width="11.7109375" style="1" customWidth="1"/>
    <col min="5644" max="5644" width="12.7109375" style="1" customWidth="1"/>
    <col min="5645" max="5646" width="7.42578125" style="1" customWidth="1"/>
    <col min="5647" max="5889" width="9.140625" style="1"/>
    <col min="5890" max="5890" width="6.7109375" style="1" customWidth="1"/>
    <col min="5891" max="5891" width="39.85546875" style="1" customWidth="1"/>
    <col min="5892" max="5892" width="12.5703125" style="1" customWidth="1"/>
    <col min="5893" max="5894" width="13" style="1" customWidth="1"/>
    <col min="5895" max="5895" width="14" style="1" customWidth="1"/>
    <col min="5896" max="5896" width="12" style="1" customWidth="1"/>
    <col min="5897" max="5897" width="14.7109375" style="1" customWidth="1"/>
    <col min="5898" max="5898" width="13.140625" style="1" customWidth="1"/>
    <col min="5899" max="5899" width="11.7109375" style="1" customWidth="1"/>
    <col min="5900" max="5900" width="12.7109375" style="1" customWidth="1"/>
    <col min="5901" max="5902" width="7.42578125" style="1" customWidth="1"/>
    <col min="5903" max="6145" width="9.140625" style="1"/>
    <col min="6146" max="6146" width="6.7109375" style="1" customWidth="1"/>
    <col min="6147" max="6147" width="39.85546875" style="1" customWidth="1"/>
    <col min="6148" max="6148" width="12.5703125" style="1" customWidth="1"/>
    <col min="6149" max="6150" width="13" style="1" customWidth="1"/>
    <col min="6151" max="6151" width="14" style="1" customWidth="1"/>
    <col min="6152" max="6152" width="12" style="1" customWidth="1"/>
    <col min="6153" max="6153" width="14.7109375" style="1" customWidth="1"/>
    <col min="6154" max="6154" width="13.140625" style="1" customWidth="1"/>
    <col min="6155" max="6155" width="11.7109375" style="1" customWidth="1"/>
    <col min="6156" max="6156" width="12.7109375" style="1" customWidth="1"/>
    <col min="6157" max="6158" width="7.42578125" style="1" customWidth="1"/>
    <col min="6159" max="6401" width="9.140625" style="1"/>
    <col min="6402" max="6402" width="6.7109375" style="1" customWidth="1"/>
    <col min="6403" max="6403" width="39.85546875" style="1" customWidth="1"/>
    <col min="6404" max="6404" width="12.5703125" style="1" customWidth="1"/>
    <col min="6405" max="6406" width="13" style="1" customWidth="1"/>
    <col min="6407" max="6407" width="14" style="1" customWidth="1"/>
    <col min="6408" max="6408" width="12" style="1" customWidth="1"/>
    <col min="6409" max="6409" width="14.7109375" style="1" customWidth="1"/>
    <col min="6410" max="6410" width="13.140625" style="1" customWidth="1"/>
    <col min="6411" max="6411" width="11.7109375" style="1" customWidth="1"/>
    <col min="6412" max="6412" width="12.7109375" style="1" customWidth="1"/>
    <col min="6413" max="6414" width="7.42578125" style="1" customWidth="1"/>
    <col min="6415" max="6657" width="9.140625" style="1"/>
    <col min="6658" max="6658" width="6.7109375" style="1" customWidth="1"/>
    <col min="6659" max="6659" width="39.85546875" style="1" customWidth="1"/>
    <col min="6660" max="6660" width="12.5703125" style="1" customWidth="1"/>
    <col min="6661" max="6662" width="13" style="1" customWidth="1"/>
    <col min="6663" max="6663" width="14" style="1" customWidth="1"/>
    <col min="6664" max="6664" width="12" style="1" customWidth="1"/>
    <col min="6665" max="6665" width="14.7109375" style="1" customWidth="1"/>
    <col min="6666" max="6666" width="13.140625" style="1" customWidth="1"/>
    <col min="6667" max="6667" width="11.7109375" style="1" customWidth="1"/>
    <col min="6668" max="6668" width="12.7109375" style="1" customWidth="1"/>
    <col min="6669" max="6670" width="7.42578125" style="1" customWidth="1"/>
    <col min="6671" max="6913" width="9.140625" style="1"/>
    <col min="6914" max="6914" width="6.7109375" style="1" customWidth="1"/>
    <col min="6915" max="6915" width="39.85546875" style="1" customWidth="1"/>
    <col min="6916" max="6916" width="12.5703125" style="1" customWidth="1"/>
    <col min="6917" max="6918" width="13" style="1" customWidth="1"/>
    <col min="6919" max="6919" width="14" style="1" customWidth="1"/>
    <col min="6920" max="6920" width="12" style="1" customWidth="1"/>
    <col min="6921" max="6921" width="14.7109375" style="1" customWidth="1"/>
    <col min="6922" max="6922" width="13.140625" style="1" customWidth="1"/>
    <col min="6923" max="6923" width="11.7109375" style="1" customWidth="1"/>
    <col min="6924" max="6924" width="12.7109375" style="1" customWidth="1"/>
    <col min="6925" max="6926" width="7.42578125" style="1" customWidth="1"/>
    <col min="6927" max="7169" width="9.140625" style="1"/>
    <col min="7170" max="7170" width="6.7109375" style="1" customWidth="1"/>
    <col min="7171" max="7171" width="39.85546875" style="1" customWidth="1"/>
    <col min="7172" max="7172" width="12.5703125" style="1" customWidth="1"/>
    <col min="7173" max="7174" width="13" style="1" customWidth="1"/>
    <col min="7175" max="7175" width="14" style="1" customWidth="1"/>
    <col min="7176" max="7176" width="12" style="1" customWidth="1"/>
    <col min="7177" max="7177" width="14.7109375" style="1" customWidth="1"/>
    <col min="7178" max="7178" width="13.140625" style="1" customWidth="1"/>
    <col min="7179" max="7179" width="11.7109375" style="1" customWidth="1"/>
    <col min="7180" max="7180" width="12.7109375" style="1" customWidth="1"/>
    <col min="7181" max="7182" width="7.42578125" style="1" customWidth="1"/>
    <col min="7183" max="7425" width="9.140625" style="1"/>
    <col min="7426" max="7426" width="6.7109375" style="1" customWidth="1"/>
    <col min="7427" max="7427" width="39.85546875" style="1" customWidth="1"/>
    <col min="7428" max="7428" width="12.5703125" style="1" customWidth="1"/>
    <col min="7429" max="7430" width="13" style="1" customWidth="1"/>
    <col min="7431" max="7431" width="14" style="1" customWidth="1"/>
    <col min="7432" max="7432" width="12" style="1" customWidth="1"/>
    <col min="7433" max="7433" width="14.7109375" style="1" customWidth="1"/>
    <col min="7434" max="7434" width="13.140625" style="1" customWidth="1"/>
    <col min="7435" max="7435" width="11.7109375" style="1" customWidth="1"/>
    <col min="7436" max="7436" width="12.7109375" style="1" customWidth="1"/>
    <col min="7437" max="7438" width="7.42578125" style="1" customWidth="1"/>
    <col min="7439" max="7681" width="9.140625" style="1"/>
    <col min="7682" max="7682" width="6.7109375" style="1" customWidth="1"/>
    <col min="7683" max="7683" width="39.85546875" style="1" customWidth="1"/>
    <col min="7684" max="7684" width="12.5703125" style="1" customWidth="1"/>
    <col min="7685" max="7686" width="13" style="1" customWidth="1"/>
    <col min="7687" max="7687" width="14" style="1" customWidth="1"/>
    <col min="7688" max="7688" width="12" style="1" customWidth="1"/>
    <col min="7689" max="7689" width="14.7109375" style="1" customWidth="1"/>
    <col min="7690" max="7690" width="13.140625" style="1" customWidth="1"/>
    <col min="7691" max="7691" width="11.7109375" style="1" customWidth="1"/>
    <col min="7692" max="7692" width="12.7109375" style="1" customWidth="1"/>
    <col min="7693" max="7694" width="7.42578125" style="1" customWidth="1"/>
    <col min="7695" max="7937" width="9.140625" style="1"/>
    <col min="7938" max="7938" width="6.7109375" style="1" customWidth="1"/>
    <col min="7939" max="7939" width="39.85546875" style="1" customWidth="1"/>
    <col min="7940" max="7940" width="12.5703125" style="1" customWidth="1"/>
    <col min="7941" max="7942" width="13" style="1" customWidth="1"/>
    <col min="7943" max="7943" width="14" style="1" customWidth="1"/>
    <col min="7944" max="7944" width="12" style="1" customWidth="1"/>
    <col min="7945" max="7945" width="14.7109375" style="1" customWidth="1"/>
    <col min="7946" max="7946" width="13.140625" style="1" customWidth="1"/>
    <col min="7947" max="7947" width="11.7109375" style="1" customWidth="1"/>
    <col min="7948" max="7948" width="12.7109375" style="1" customWidth="1"/>
    <col min="7949" max="7950" width="7.42578125" style="1" customWidth="1"/>
    <col min="7951" max="8193" width="9.140625" style="1"/>
    <col min="8194" max="8194" width="6.7109375" style="1" customWidth="1"/>
    <col min="8195" max="8195" width="39.85546875" style="1" customWidth="1"/>
    <col min="8196" max="8196" width="12.5703125" style="1" customWidth="1"/>
    <col min="8197" max="8198" width="13" style="1" customWidth="1"/>
    <col min="8199" max="8199" width="14" style="1" customWidth="1"/>
    <col min="8200" max="8200" width="12" style="1" customWidth="1"/>
    <col min="8201" max="8201" width="14.7109375" style="1" customWidth="1"/>
    <col min="8202" max="8202" width="13.140625" style="1" customWidth="1"/>
    <col min="8203" max="8203" width="11.7109375" style="1" customWidth="1"/>
    <col min="8204" max="8204" width="12.7109375" style="1" customWidth="1"/>
    <col min="8205" max="8206" width="7.42578125" style="1" customWidth="1"/>
    <col min="8207" max="8449" width="9.140625" style="1"/>
    <col min="8450" max="8450" width="6.7109375" style="1" customWidth="1"/>
    <col min="8451" max="8451" width="39.85546875" style="1" customWidth="1"/>
    <col min="8452" max="8452" width="12.5703125" style="1" customWidth="1"/>
    <col min="8453" max="8454" width="13" style="1" customWidth="1"/>
    <col min="8455" max="8455" width="14" style="1" customWidth="1"/>
    <col min="8456" max="8456" width="12" style="1" customWidth="1"/>
    <col min="8457" max="8457" width="14.7109375" style="1" customWidth="1"/>
    <col min="8458" max="8458" width="13.140625" style="1" customWidth="1"/>
    <col min="8459" max="8459" width="11.7109375" style="1" customWidth="1"/>
    <col min="8460" max="8460" width="12.7109375" style="1" customWidth="1"/>
    <col min="8461" max="8462" width="7.42578125" style="1" customWidth="1"/>
    <col min="8463" max="8705" width="9.140625" style="1"/>
    <col min="8706" max="8706" width="6.7109375" style="1" customWidth="1"/>
    <col min="8707" max="8707" width="39.85546875" style="1" customWidth="1"/>
    <col min="8708" max="8708" width="12.5703125" style="1" customWidth="1"/>
    <col min="8709" max="8710" width="13" style="1" customWidth="1"/>
    <col min="8711" max="8711" width="14" style="1" customWidth="1"/>
    <col min="8712" max="8712" width="12" style="1" customWidth="1"/>
    <col min="8713" max="8713" width="14.7109375" style="1" customWidth="1"/>
    <col min="8714" max="8714" width="13.140625" style="1" customWidth="1"/>
    <col min="8715" max="8715" width="11.7109375" style="1" customWidth="1"/>
    <col min="8716" max="8716" width="12.7109375" style="1" customWidth="1"/>
    <col min="8717" max="8718" width="7.42578125" style="1" customWidth="1"/>
    <col min="8719" max="8961" width="9.140625" style="1"/>
    <col min="8962" max="8962" width="6.7109375" style="1" customWidth="1"/>
    <col min="8963" max="8963" width="39.85546875" style="1" customWidth="1"/>
    <col min="8964" max="8964" width="12.5703125" style="1" customWidth="1"/>
    <col min="8965" max="8966" width="13" style="1" customWidth="1"/>
    <col min="8967" max="8967" width="14" style="1" customWidth="1"/>
    <col min="8968" max="8968" width="12" style="1" customWidth="1"/>
    <col min="8969" max="8969" width="14.7109375" style="1" customWidth="1"/>
    <col min="8970" max="8970" width="13.140625" style="1" customWidth="1"/>
    <col min="8971" max="8971" width="11.7109375" style="1" customWidth="1"/>
    <col min="8972" max="8972" width="12.7109375" style="1" customWidth="1"/>
    <col min="8973" max="8974" width="7.42578125" style="1" customWidth="1"/>
    <col min="8975" max="9217" width="9.140625" style="1"/>
    <col min="9218" max="9218" width="6.7109375" style="1" customWidth="1"/>
    <col min="9219" max="9219" width="39.85546875" style="1" customWidth="1"/>
    <col min="9220" max="9220" width="12.5703125" style="1" customWidth="1"/>
    <col min="9221" max="9222" width="13" style="1" customWidth="1"/>
    <col min="9223" max="9223" width="14" style="1" customWidth="1"/>
    <col min="9224" max="9224" width="12" style="1" customWidth="1"/>
    <col min="9225" max="9225" width="14.7109375" style="1" customWidth="1"/>
    <col min="9226" max="9226" width="13.140625" style="1" customWidth="1"/>
    <col min="9227" max="9227" width="11.7109375" style="1" customWidth="1"/>
    <col min="9228" max="9228" width="12.7109375" style="1" customWidth="1"/>
    <col min="9229" max="9230" width="7.42578125" style="1" customWidth="1"/>
    <col min="9231" max="9473" width="9.140625" style="1"/>
    <col min="9474" max="9474" width="6.7109375" style="1" customWidth="1"/>
    <col min="9475" max="9475" width="39.85546875" style="1" customWidth="1"/>
    <col min="9476" max="9476" width="12.5703125" style="1" customWidth="1"/>
    <col min="9477" max="9478" width="13" style="1" customWidth="1"/>
    <col min="9479" max="9479" width="14" style="1" customWidth="1"/>
    <col min="9480" max="9480" width="12" style="1" customWidth="1"/>
    <col min="9481" max="9481" width="14.7109375" style="1" customWidth="1"/>
    <col min="9482" max="9482" width="13.140625" style="1" customWidth="1"/>
    <col min="9483" max="9483" width="11.7109375" style="1" customWidth="1"/>
    <col min="9484" max="9484" width="12.7109375" style="1" customWidth="1"/>
    <col min="9485" max="9486" width="7.42578125" style="1" customWidth="1"/>
    <col min="9487" max="9729" width="9.140625" style="1"/>
    <col min="9730" max="9730" width="6.7109375" style="1" customWidth="1"/>
    <col min="9731" max="9731" width="39.85546875" style="1" customWidth="1"/>
    <col min="9732" max="9732" width="12.5703125" style="1" customWidth="1"/>
    <col min="9733" max="9734" width="13" style="1" customWidth="1"/>
    <col min="9735" max="9735" width="14" style="1" customWidth="1"/>
    <col min="9736" max="9736" width="12" style="1" customWidth="1"/>
    <col min="9737" max="9737" width="14.7109375" style="1" customWidth="1"/>
    <col min="9738" max="9738" width="13.140625" style="1" customWidth="1"/>
    <col min="9739" max="9739" width="11.7109375" style="1" customWidth="1"/>
    <col min="9740" max="9740" width="12.7109375" style="1" customWidth="1"/>
    <col min="9741" max="9742" width="7.42578125" style="1" customWidth="1"/>
    <col min="9743" max="9985" width="9.140625" style="1"/>
    <col min="9986" max="9986" width="6.7109375" style="1" customWidth="1"/>
    <col min="9987" max="9987" width="39.85546875" style="1" customWidth="1"/>
    <col min="9988" max="9988" width="12.5703125" style="1" customWidth="1"/>
    <col min="9989" max="9990" width="13" style="1" customWidth="1"/>
    <col min="9991" max="9991" width="14" style="1" customWidth="1"/>
    <col min="9992" max="9992" width="12" style="1" customWidth="1"/>
    <col min="9993" max="9993" width="14.7109375" style="1" customWidth="1"/>
    <col min="9994" max="9994" width="13.140625" style="1" customWidth="1"/>
    <col min="9995" max="9995" width="11.7109375" style="1" customWidth="1"/>
    <col min="9996" max="9996" width="12.7109375" style="1" customWidth="1"/>
    <col min="9997" max="9998" width="7.42578125" style="1" customWidth="1"/>
    <col min="9999" max="10241" width="9.140625" style="1"/>
    <col min="10242" max="10242" width="6.7109375" style="1" customWidth="1"/>
    <col min="10243" max="10243" width="39.85546875" style="1" customWidth="1"/>
    <col min="10244" max="10244" width="12.5703125" style="1" customWidth="1"/>
    <col min="10245" max="10246" width="13" style="1" customWidth="1"/>
    <col min="10247" max="10247" width="14" style="1" customWidth="1"/>
    <col min="10248" max="10248" width="12" style="1" customWidth="1"/>
    <col min="10249" max="10249" width="14.7109375" style="1" customWidth="1"/>
    <col min="10250" max="10250" width="13.140625" style="1" customWidth="1"/>
    <col min="10251" max="10251" width="11.7109375" style="1" customWidth="1"/>
    <col min="10252" max="10252" width="12.7109375" style="1" customWidth="1"/>
    <col min="10253" max="10254" width="7.42578125" style="1" customWidth="1"/>
    <col min="10255" max="10497" width="9.140625" style="1"/>
    <col min="10498" max="10498" width="6.7109375" style="1" customWidth="1"/>
    <col min="10499" max="10499" width="39.85546875" style="1" customWidth="1"/>
    <col min="10500" max="10500" width="12.5703125" style="1" customWidth="1"/>
    <col min="10501" max="10502" width="13" style="1" customWidth="1"/>
    <col min="10503" max="10503" width="14" style="1" customWidth="1"/>
    <col min="10504" max="10504" width="12" style="1" customWidth="1"/>
    <col min="10505" max="10505" width="14.7109375" style="1" customWidth="1"/>
    <col min="10506" max="10506" width="13.140625" style="1" customWidth="1"/>
    <col min="10507" max="10507" width="11.7109375" style="1" customWidth="1"/>
    <col min="10508" max="10508" width="12.7109375" style="1" customWidth="1"/>
    <col min="10509" max="10510" width="7.42578125" style="1" customWidth="1"/>
    <col min="10511" max="10753" width="9.140625" style="1"/>
    <col min="10754" max="10754" width="6.7109375" style="1" customWidth="1"/>
    <col min="10755" max="10755" width="39.85546875" style="1" customWidth="1"/>
    <col min="10756" max="10756" width="12.5703125" style="1" customWidth="1"/>
    <col min="10757" max="10758" width="13" style="1" customWidth="1"/>
    <col min="10759" max="10759" width="14" style="1" customWidth="1"/>
    <col min="10760" max="10760" width="12" style="1" customWidth="1"/>
    <col min="10761" max="10761" width="14.7109375" style="1" customWidth="1"/>
    <col min="10762" max="10762" width="13.140625" style="1" customWidth="1"/>
    <col min="10763" max="10763" width="11.7109375" style="1" customWidth="1"/>
    <col min="10764" max="10764" width="12.7109375" style="1" customWidth="1"/>
    <col min="10765" max="10766" width="7.42578125" style="1" customWidth="1"/>
    <col min="10767" max="11009" width="9.140625" style="1"/>
    <col min="11010" max="11010" width="6.7109375" style="1" customWidth="1"/>
    <col min="11011" max="11011" width="39.85546875" style="1" customWidth="1"/>
    <col min="11012" max="11012" width="12.5703125" style="1" customWidth="1"/>
    <col min="11013" max="11014" width="13" style="1" customWidth="1"/>
    <col min="11015" max="11015" width="14" style="1" customWidth="1"/>
    <col min="11016" max="11016" width="12" style="1" customWidth="1"/>
    <col min="11017" max="11017" width="14.7109375" style="1" customWidth="1"/>
    <col min="11018" max="11018" width="13.140625" style="1" customWidth="1"/>
    <col min="11019" max="11019" width="11.7109375" style="1" customWidth="1"/>
    <col min="11020" max="11020" width="12.7109375" style="1" customWidth="1"/>
    <col min="11021" max="11022" width="7.42578125" style="1" customWidth="1"/>
    <col min="11023" max="11265" width="9.140625" style="1"/>
    <col min="11266" max="11266" width="6.7109375" style="1" customWidth="1"/>
    <col min="11267" max="11267" width="39.85546875" style="1" customWidth="1"/>
    <col min="11268" max="11268" width="12.5703125" style="1" customWidth="1"/>
    <col min="11269" max="11270" width="13" style="1" customWidth="1"/>
    <col min="11271" max="11271" width="14" style="1" customWidth="1"/>
    <col min="11272" max="11272" width="12" style="1" customWidth="1"/>
    <col min="11273" max="11273" width="14.7109375" style="1" customWidth="1"/>
    <col min="11274" max="11274" width="13.140625" style="1" customWidth="1"/>
    <col min="11275" max="11275" width="11.7109375" style="1" customWidth="1"/>
    <col min="11276" max="11276" width="12.7109375" style="1" customWidth="1"/>
    <col min="11277" max="11278" width="7.42578125" style="1" customWidth="1"/>
    <col min="11279" max="11521" width="9.140625" style="1"/>
    <col min="11522" max="11522" width="6.7109375" style="1" customWidth="1"/>
    <col min="11523" max="11523" width="39.85546875" style="1" customWidth="1"/>
    <col min="11524" max="11524" width="12.5703125" style="1" customWidth="1"/>
    <col min="11525" max="11526" width="13" style="1" customWidth="1"/>
    <col min="11527" max="11527" width="14" style="1" customWidth="1"/>
    <col min="11528" max="11528" width="12" style="1" customWidth="1"/>
    <col min="11529" max="11529" width="14.7109375" style="1" customWidth="1"/>
    <col min="11530" max="11530" width="13.140625" style="1" customWidth="1"/>
    <col min="11531" max="11531" width="11.7109375" style="1" customWidth="1"/>
    <col min="11532" max="11532" width="12.7109375" style="1" customWidth="1"/>
    <col min="11533" max="11534" width="7.42578125" style="1" customWidth="1"/>
    <col min="11535" max="11777" width="9.140625" style="1"/>
    <col min="11778" max="11778" width="6.7109375" style="1" customWidth="1"/>
    <col min="11779" max="11779" width="39.85546875" style="1" customWidth="1"/>
    <col min="11780" max="11780" width="12.5703125" style="1" customWidth="1"/>
    <col min="11781" max="11782" width="13" style="1" customWidth="1"/>
    <col min="11783" max="11783" width="14" style="1" customWidth="1"/>
    <col min="11784" max="11784" width="12" style="1" customWidth="1"/>
    <col min="11785" max="11785" width="14.7109375" style="1" customWidth="1"/>
    <col min="11786" max="11786" width="13.140625" style="1" customWidth="1"/>
    <col min="11787" max="11787" width="11.7109375" style="1" customWidth="1"/>
    <col min="11788" max="11788" width="12.7109375" style="1" customWidth="1"/>
    <col min="11789" max="11790" width="7.42578125" style="1" customWidth="1"/>
    <col min="11791" max="12033" width="9.140625" style="1"/>
    <col min="12034" max="12034" width="6.7109375" style="1" customWidth="1"/>
    <col min="12035" max="12035" width="39.85546875" style="1" customWidth="1"/>
    <col min="12036" max="12036" width="12.5703125" style="1" customWidth="1"/>
    <col min="12037" max="12038" width="13" style="1" customWidth="1"/>
    <col min="12039" max="12039" width="14" style="1" customWidth="1"/>
    <col min="12040" max="12040" width="12" style="1" customWidth="1"/>
    <col min="12041" max="12041" width="14.7109375" style="1" customWidth="1"/>
    <col min="12042" max="12042" width="13.140625" style="1" customWidth="1"/>
    <col min="12043" max="12043" width="11.7109375" style="1" customWidth="1"/>
    <col min="12044" max="12044" width="12.7109375" style="1" customWidth="1"/>
    <col min="12045" max="12046" width="7.42578125" style="1" customWidth="1"/>
    <col min="12047" max="12289" width="9.140625" style="1"/>
    <col min="12290" max="12290" width="6.7109375" style="1" customWidth="1"/>
    <col min="12291" max="12291" width="39.85546875" style="1" customWidth="1"/>
    <col min="12292" max="12292" width="12.5703125" style="1" customWidth="1"/>
    <col min="12293" max="12294" width="13" style="1" customWidth="1"/>
    <col min="12295" max="12295" width="14" style="1" customWidth="1"/>
    <col min="12296" max="12296" width="12" style="1" customWidth="1"/>
    <col min="12297" max="12297" width="14.7109375" style="1" customWidth="1"/>
    <col min="12298" max="12298" width="13.140625" style="1" customWidth="1"/>
    <col min="12299" max="12299" width="11.7109375" style="1" customWidth="1"/>
    <col min="12300" max="12300" width="12.7109375" style="1" customWidth="1"/>
    <col min="12301" max="12302" width="7.42578125" style="1" customWidth="1"/>
    <col min="12303" max="12545" width="9.140625" style="1"/>
    <col min="12546" max="12546" width="6.7109375" style="1" customWidth="1"/>
    <col min="12547" max="12547" width="39.85546875" style="1" customWidth="1"/>
    <col min="12548" max="12548" width="12.5703125" style="1" customWidth="1"/>
    <col min="12549" max="12550" width="13" style="1" customWidth="1"/>
    <col min="12551" max="12551" width="14" style="1" customWidth="1"/>
    <col min="12552" max="12552" width="12" style="1" customWidth="1"/>
    <col min="12553" max="12553" width="14.7109375" style="1" customWidth="1"/>
    <col min="12554" max="12554" width="13.140625" style="1" customWidth="1"/>
    <col min="12555" max="12555" width="11.7109375" style="1" customWidth="1"/>
    <col min="12556" max="12556" width="12.7109375" style="1" customWidth="1"/>
    <col min="12557" max="12558" width="7.42578125" style="1" customWidth="1"/>
    <col min="12559" max="12801" width="9.140625" style="1"/>
    <col min="12802" max="12802" width="6.7109375" style="1" customWidth="1"/>
    <col min="12803" max="12803" width="39.85546875" style="1" customWidth="1"/>
    <col min="12804" max="12804" width="12.5703125" style="1" customWidth="1"/>
    <col min="12805" max="12806" width="13" style="1" customWidth="1"/>
    <col min="12807" max="12807" width="14" style="1" customWidth="1"/>
    <col min="12808" max="12808" width="12" style="1" customWidth="1"/>
    <col min="12809" max="12809" width="14.7109375" style="1" customWidth="1"/>
    <col min="12810" max="12810" width="13.140625" style="1" customWidth="1"/>
    <col min="12811" max="12811" width="11.7109375" style="1" customWidth="1"/>
    <col min="12812" max="12812" width="12.7109375" style="1" customWidth="1"/>
    <col min="12813" max="12814" width="7.42578125" style="1" customWidth="1"/>
    <col min="12815" max="13057" width="9.140625" style="1"/>
    <col min="13058" max="13058" width="6.7109375" style="1" customWidth="1"/>
    <col min="13059" max="13059" width="39.85546875" style="1" customWidth="1"/>
    <col min="13060" max="13060" width="12.5703125" style="1" customWidth="1"/>
    <col min="13061" max="13062" width="13" style="1" customWidth="1"/>
    <col min="13063" max="13063" width="14" style="1" customWidth="1"/>
    <col min="13064" max="13064" width="12" style="1" customWidth="1"/>
    <col min="13065" max="13065" width="14.7109375" style="1" customWidth="1"/>
    <col min="13066" max="13066" width="13.140625" style="1" customWidth="1"/>
    <col min="13067" max="13067" width="11.7109375" style="1" customWidth="1"/>
    <col min="13068" max="13068" width="12.7109375" style="1" customWidth="1"/>
    <col min="13069" max="13070" width="7.42578125" style="1" customWidth="1"/>
    <col min="13071" max="13313" width="9.140625" style="1"/>
    <col min="13314" max="13314" width="6.7109375" style="1" customWidth="1"/>
    <col min="13315" max="13315" width="39.85546875" style="1" customWidth="1"/>
    <col min="13316" max="13316" width="12.5703125" style="1" customWidth="1"/>
    <col min="13317" max="13318" width="13" style="1" customWidth="1"/>
    <col min="13319" max="13319" width="14" style="1" customWidth="1"/>
    <col min="13320" max="13320" width="12" style="1" customWidth="1"/>
    <col min="13321" max="13321" width="14.7109375" style="1" customWidth="1"/>
    <col min="13322" max="13322" width="13.140625" style="1" customWidth="1"/>
    <col min="13323" max="13323" width="11.7109375" style="1" customWidth="1"/>
    <col min="13324" max="13324" width="12.7109375" style="1" customWidth="1"/>
    <col min="13325" max="13326" width="7.42578125" style="1" customWidth="1"/>
    <col min="13327" max="13569" width="9.140625" style="1"/>
    <col min="13570" max="13570" width="6.7109375" style="1" customWidth="1"/>
    <col min="13571" max="13571" width="39.85546875" style="1" customWidth="1"/>
    <col min="13572" max="13572" width="12.5703125" style="1" customWidth="1"/>
    <col min="13573" max="13574" width="13" style="1" customWidth="1"/>
    <col min="13575" max="13575" width="14" style="1" customWidth="1"/>
    <col min="13576" max="13576" width="12" style="1" customWidth="1"/>
    <col min="13577" max="13577" width="14.7109375" style="1" customWidth="1"/>
    <col min="13578" max="13578" width="13.140625" style="1" customWidth="1"/>
    <col min="13579" max="13579" width="11.7109375" style="1" customWidth="1"/>
    <col min="13580" max="13580" width="12.7109375" style="1" customWidth="1"/>
    <col min="13581" max="13582" width="7.42578125" style="1" customWidth="1"/>
    <col min="13583" max="13825" width="9.140625" style="1"/>
    <col min="13826" max="13826" width="6.7109375" style="1" customWidth="1"/>
    <col min="13827" max="13827" width="39.85546875" style="1" customWidth="1"/>
    <col min="13828" max="13828" width="12.5703125" style="1" customWidth="1"/>
    <col min="13829" max="13830" width="13" style="1" customWidth="1"/>
    <col min="13831" max="13831" width="14" style="1" customWidth="1"/>
    <col min="13832" max="13832" width="12" style="1" customWidth="1"/>
    <col min="13833" max="13833" width="14.7109375" style="1" customWidth="1"/>
    <col min="13834" max="13834" width="13.140625" style="1" customWidth="1"/>
    <col min="13835" max="13835" width="11.7109375" style="1" customWidth="1"/>
    <col min="13836" max="13836" width="12.7109375" style="1" customWidth="1"/>
    <col min="13837" max="13838" width="7.42578125" style="1" customWidth="1"/>
    <col min="13839" max="14081" width="9.140625" style="1"/>
    <col min="14082" max="14082" width="6.7109375" style="1" customWidth="1"/>
    <col min="14083" max="14083" width="39.85546875" style="1" customWidth="1"/>
    <col min="14084" max="14084" width="12.5703125" style="1" customWidth="1"/>
    <col min="14085" max="14086" width="13" style="1" customWidth="1"/>
    <col min="14087" max="14087" width="14" style="1" customWidth="1"/>
    <col min="14088" max="14088" width="12" style="1" customWidth="1"/>
    <col min="14089" max="14089" width="14.7109375" style="1" customWidth="1"/>
    <col min="14090" max="14090" width="13.140625" style="1" customWidth="1"/>
    <col min="14091" max="14091" width="11.7109375" style="1" customWidth="1"/>
    <col min="14092" max="14092" width="12.7109375" style="1" customWidth="1"/>
    <col min="14093" max="14094" width="7.42578125" style="1" customWidth="1"/>
    <col min="14095" max="14337" width="9.140625" style="1"/>
    <col min="14338" max="14338" width="6.7109375" style="1" customWidth="1"/>
    <col min="14339" max="14339" width="39.85546875" style="1" customWidth="1"/>
    <col min="14340" max="14340" width="12.5703125" style="1" customWidth="1"/>
    <col min="14341" max="14342" width="13" style="1" customWidth="1"/>
    <col min="14343" max="14343" width="14" style="1" customWidth="1"/>
    <col min="14344" max="14344" width="12" style="1" customWidth="1"/>
    <col min="14345" max="14345" width="14.7109375" style="1" customWidth="1"/>
    <col min="14346" max="14346" width="13.140625" style="1" customWidth="1"/>
    <col min="14347" max="14347" width="11.7109375" style="1" customWidth="1"/>
    <col min="14348" max="14348" width="12.7109375" style="1" customWidth="1"/>
    <col min="14349" max="14350" width="7.42578125" style="1" customWidth="1"/>
    <col min="14351" max="14593" width="9.140625" style="1"/>
    <col min="14594" max="14594" width="6.7109375" style="1" customWidth="1"/>
    <col min="14595" max="14595" width="39.85546875" style="1" customWidth="1"/>
    <col min="14596" max="14596" width="12.5703125" style="1" customWidth="1"/>
    <col min="14597" max="14598" width="13" style="1" customWidth="1"/>
    <col min="14599" max="14599" width="14" style="1" customWidth="1"/>
    <col min="14600" max="14600" width="12" style="1" customWidth="1"/>
    <col min="14601" max="14601" width="14.7109375" style="1" customWidth="1"/>
    <col min="14602" max="14602" width="13.140625" style="1" customWidth="1"/>
    <col min="14603" max="14603" width="11.7109375" style="1" customWidth="1"/>
    <col min="14604" max="14604" width="12.7109375" style="1" customWidth="1"/>
    <col min="14605" max="14606" width="7.42578125" style="1" customWidth="1"/>
    <col min="14607" max="14849" width="9.140625" style="1"/>
    <col min="14850" max="14850" width="6.7109375" style="1" customWidth="1"/>
    <col min="14851" max="14851" width="39.85546875" style="1" customWidth="1"/>
    <col min="14852" max="14852" width="12.5703125" style="1" customWidth="1"/>
    <col min="14853" max="14854" width="13" style="1" customWidth="1"/>
    <col min="14855" max="14855" width="14" style="1" customWidth="1"/>
    <col min="14856" max="14856" width="12" style="1" customWidth="1"/>
    <col min="14857" max="14857" width="14.7109375" style="1" customWidth="1"/>
    <col min="14858" max="14858" width="13.140625" style="1" customWidth="1"/>
    <col min="14859" max="14859" width="11.7109375" style="1" customWidth="1"/>
    <col min="14860" max="14860" width="12.7109375" style="1" customWidth="1"/>
    <col min="14861" max="14862" width="7.42578125" style="1" customWidth="1"/>
    <col min="14863" max="15105" width="9.140625" style="1"/>
    <col min="15106" max="15106" width="6.7109375" style="1" customWidth="1"/>
    <col min="15107" max="15107" width="39.85546875" style="1" customWidth="1"/>
    <col min="15108" max="15108" width="12.5703125" style="1" customWidth="1"/>
    <col min="15109" max="15110" width="13" style="1" customWidth="1"/>
    <col min="15111" max="15111" width="14" style="1" customWidth="1"/>
    <col min="15112" max="15112" width="12" style="1" customWidth="1"/>
    <col min="15113" max="15113" width="14.7109375" style="1" customWidth="1"/>
    <col min="15114" max="15114" width="13.140625" style="1" customWidth="1"/>
    <col min="15115" max="15115" width="11.7109375" style="1" customWidth="1"/>
    <col min="15116" max="15116" width="12.7109375" style="1" customWidth="1"/>
    <col min="15117" max="15118" width="7.42578125" style="1" customWidth="1"/>
    <col min="15119" max="15361" width="9.140625" style="1"/>
    <col min="15362" max="15362" width="6.7109375" style="1" customWidth="1"/>
    <col min="15363" max="15363" width="39.85546875" style="1" customWidth="1"/>
    <col min="15364" max="15364" width="12.5703125" style="1" customWidth="1"/>
    <col min="15365" max="15366" width="13" style="1" customWidth="1"/>
    <col min="15367" max="15367" width="14" style="1" customWidth="1"/>
    <col min="15368" max="15368" width="12" style="1" customWidth="1"/>
    <col min="15369" max="15369" width="14.7109375" style="1" customWidth="1"/>
    <col min="15370" max="15370" width="13.140625" style="1" customWidth="1"/>
    <col min="15371" max="15371" width="11.7109375" style="1" customWidth="1"/>
    <col min="15372" max="15372" width="12.7109375" style="1" customWidth="1"/>
    <col min="15373" max="15374" width="7.42578125" style="1" customWidth="1"/>
    <col min="15375" max="15617" width="9.140625" style="1"/>
    <col min="15618" max="15618" width="6.7109375" style="1" customWidth="1"/>
    <col min="15619" max="15619" width="39.85546875" style="1" customWidth="1"/>
    <col min="15620" max="15620" width="12.5703125" style="1" customWidth="1"/>
    <col min="15621" max="15622" width="13" style="1" customWidth="1"/>
    <col min="15623" max="15623" width="14" style="1" customWidth="1"/>
    <col min="15624" max="15624" width="12" style="1" customWidth="1"/>
    <col min="15625" max="15625" width="14.7109375" style="1" customWidth="1"/>
    <col min="15626" max="15626" width="13.140625" style="1" customWidth="1"/>
    <col min="15627" max="15627" width="11.7109375" style="1" customWidth="1"/>
    <col min="15628" max="15628" width="12.7109375" style="1" customWidth="1"/>
    <col min="15629" max="15630" width="7.42578125" style="1" customWidth="1"/>
    <col min="15631" max="15873" width="9.140625" style="1"/>
    <col min="15874" max="15874" width="6.7109375" style="1" customWidth="1"/>
    <col min="15875" max="15875" width="39.85546875" style="1" customWidth="1"/>
    <col min="15876" max="15876" width="12.5703125" style="1" customWidth="1"/>
    <col min="15877" max="15878" width="13" style="1" customWidth="1"/>
    <col min="15879" max="15879" width="14" style="1" customWidth="1"/>
    <col min="15880" max="15880" width="12" style="1" customWidth="1"/>
    <col min="15881" max="15881" width="14.7109375" style="1" customWidth="1"/>
    <col min="15882" max="15882" width="13.140625" style="1" customWidth="1"/>
    <col min="15883" max="15883" width="11.7109375" style="1" customWidth="1"/>
    <col min="15884" max="15884" width="12.7109375" style="1" customWidth="1"/>
    <col min="15885" max="15886" width="7.42578125" style="1" customWidth="1"/>
    <col min="15887" max="16129" width="9.140625" style="1"/>
    <col min="16130" max="16130" width="6.7109375" style="1" customWidth="1"/>
    <col min="16131" max="16131" width="39.85546875" style="1" customWidth="1"/>
    <col min="16132" max="16132" width="12.5703125" style="1" customWidth="1"/>
    <col min="16133" max="16134" width="13" style="1" customWidth="1"/>
    <col min="16135" max="16135" width="14" style="1" customWidth="1"/>
    <col min="16136" max="16136" width="12" style="1" customWidth="1"/>
    <col min="16137" max="16137" width="14.7109375" style="1" customWidth="1"/>
    <col min="16138" max="16138" width="13.140625" style="1" customWidth="1"/>
    <col min="16139" max="16139" width="11.7109375" style="1" customWidth="1"/>
    <col min="16140" max="16140" width="12.7109375" style="1" customWidth="1"/>
    <col min="16141" max="16142" width="7.42578125" style="1" customWidth="1"/>
    <col min="16143" max="16384" width="9.140625" style="1"/>
  </cols>
  <sheetData>
    <row r="1" spans="1:15" ht="15" x14ac:dyDescent="0.25">
      <c r="N1" s="6"/>
    </row>
    <row r="2" spans="1:15" ht="15" x14ac:dyDescent="0.25">
      <c r="N2" s="6"/>
    </row>
    <row r="3" spans="1:15" ht="20.100000000000001" customHeight="1" x14ac:dyDescent="0.3">
      <c r="A3" s="1468" t="s">
        <v>154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70"/>
    </row>
    <row r="4" spans="1:15" ht="15" customHeight="1" x14ac:dyDescent="0.2"/>
    <row r="5" spans="1:15" ht="20.100000000000001" customHeight="1" x14ac:dyDescent="0.3">
      <c r="A5" s="7" t="s">
        <v>253</v>
      </c>
      <c r="M5" s="8"/>
    </row>
    <row r="6" spans="1:15" ht="15" customHeight="1" thickBot="1" x14ac:dyDescent="0.35">
      <c r="A6" s="7"/>
      <c r="N6" s="8" t="s">
        <v>0</v>
      </c>
    </row>
    <row r="7" spans="1:15" s="142" customFormat="1" ht="15.75" x14ac:dyDescent="0.15">
      <c r="A7" s="1471" t="s">
        <v>104</v>
      </c>
      <c r="B7" s="1464" t="s">
        <v>156</v>
      </c>
      <c r="C7" s="1465"/>
      <c r="D7" s="1473" t="s">
        <v>164</v>
      </c>
      <c r="E7" s="1474"/>
      <c r="F7" s="1473" t="s">
        <v>132</v>
      </c>
      <c r="G7" s="1475"/>
      <c r="H7" s="1474"/>
      <c r="I7" s="1476" t="s">
        <v>165</v>
      </c>
      <c r="J7" s="1477"/>
      <c r="K7" s="1477"/>
      <c r="L7" s="1478"/>
      <c r="M7" s="1479" t="s">
        <v>151</v>
      </c>
      <c r="N7" s="1481" t="s">
        <v>157</v>
      </c>
    </row>
    <row r="8" spans="1:15" s="142" customFormat="1" ht="27" customHeight="1" thickBot="1" x14ac:dyDescent="0.2">
      <c r="A8" s="1472"/>
      <c r="B8" s="1466"/>
      <c r="C8" s="1467"/>
      <c r="D8" s="935" t="s">
        <v>163</v>
      </c>
      <c r="E8" s="936" t="s">
        <v>197</v>
      </c>
      <c r="F8" s="1216" t="s">
        <v>169</v>
      </c>
      <c r="G8" s="1217" t="s">
        <v>470</v>
      </c>
      <c r="H8" s="1218" t="s">
        <v>471</v>
      </c>
      <c r="I8" s="1171" t="s">
        <v>194</v>
      </c>
      <c r="J8" s="1170" t="s">
        <v>195</v>
      </c>
      <c r="K8" s="1172" t="s">
        <v>196</v>
      </c>
      <c r="L8" s="1253" t="s">
        <v>99</v>
      </c>
      <c r="M8" s="1480"/>
      <c r="N8" s="1482"/>
    </row>
    <row r="9" spans="1:15" s="18" customFormat="1" ht="20.100000000000001" customHeight="1" thickBot="1" x14ac:dyDescent="0.3">
      <c r="A9" s="9"/>
      <c r="B9" s="179" t="s">
        <v>158</v>
      </c>
      <c r="C9" s="10"/>
      <c r="D9" s="11"/>
      <c r="E9" s="12"/>
      <c r="F9" s="11"/>
      <c r="G9" s="13"/>
      <c r="H9" s="13"/>
      <c r="I9" s="14"/>
      <c r="J9" s="14"/>
      <c r="K9" s="14"/>
      <c r="L9" s="15"/>
      <c r="M9" s="16"/>
      <c r="N9" s="17"/>
    </row>
    <row r="10" spans="1:15" s="20" customFormat="1" ht="15" customHeight="1" x14ac:dyDescent="0.25">
      <c r="A10" s="389">
        <v>6113</v>
      </c>
      <c r="B10" s="390" t="s">
        <v>193</v>
      </c>
      <c r="C10" s="391"/>
      <c r="D10" s="392">
        <v>0</v>
      </c>
      <c r="E10" s="393">
        <v>0</v>
      </c>
      <c r="F10" s="392">
        <v>150</v>
      </c>
      <c r="G10" s="364">
        <v>150</v>
      </c>
      <c r="H10" s="394">
        <v>119.67</v>
      </c>
      <c r="I10" s="395">
        <v>150</v>
      </c>
      <c r="J10" s="396">
        <v>0</v>
      </c>
      <c r="K10" s="397">
        <v>0</v>
      </c>
      <c r="L10" s="366">
        <f t="shared" ref="L10:L14" si="0">SUM(I10:K10)</f>
        <v>150</v>
      </c>
      <c r="M10" s="398">
        <f t="shared" ref="M10:M15" si="1">L10/F10*100</f>
        <v>100</v>
      </c>
      <c r="N10" s="399">
        <f t="shared" ref="N10:N15" si="2">L10/G10*100</f>
        <v>100</v>
      </c>
      <c r="O10" s="19"/>
    </row>
    <row r="11" spans="1:15" s="20" customFormat="1" ht="15" customHeight="1" x14ac:dyDescent="0.2">
      <c r="A11" s="1461">
        <v>6172</v>
      </c>
      <c r="B11" s="400" t="s">
        <v>160</v>
      </c>
      <c r="C11" s="401"/>
      <c r="D11" s="402">
        <v>24469</v>
      </c>
      <c r="E11" s="403">
        <v>17358.983960000001</v>
      </c>
      <c r="F11" s="402">
        <v>28937</v>
      </c>
      <c r="G11" s="382">
        <v>33464.49</v>
      </c>
      <c r="H11" s="404">
        <v>19994.759999999998</v>
      </c>
      <c r="I11" s="405">
        <f>300+600+19195+150+250-905+13300</f>
        <v>32890</v>
      </c>
      <c r="J11" s="406">
        <f>40+500+70+1000+500+100+400+6500</f>
        <v>9110</v>
      </c>
      <c r="K11" s="407">
        <f>400+100+100+905</f>
        <v>1505</v>
      </c>
      <c r="L11" s="373">
        <f t="shared" si="0"/>
        <v>43505</v>
      </c>
      <c r="M11" s="408">
        <f t="shared" si="1"/>
        <v>150.34385043370079</v>
      </c>
      <c r="N11" s="385">
        <f t="shared" si="2"/>
        <v>130.00347532563623</v>
      </c>
      <c r="O11" s="19"/>
    </row>
    <row r="12" spans="1:15" s="20" customFormat="1" ht="15" customHeight="1" x14ac:dyDescent="0.2">
      <c r="A12" s="1463"/>
      <c r="B12" s="954" t="s">
        <v>133</v>
      </c>
      <c r="C12" s="180" t="s">
        <v>234</v>
      </c>
      <c r="D12" s="159">
        <v>250</v>
      </c>
      <c r="E12" s="160">
        <v>31.77825</v>
      </c>
      <c r="F12" s="159">
        <v>250</v>
      </c>
      <c r="G12" s="161">
        <v>261.69499999999999</v>
      </c>
      <c r="H12" s="162">
        <v>45.55</v>
      </c>
      <c r="I12" s="163">
        <v>250</v>
      </c>
      <c r="J12" s="176">
        <v>0</v>
      </c>
      <c r="K12" s="260">
        <v>0</v>
      </c>
      <c r="L12" s="164">
        <f t="shared" si="0"/>
        <v>250</v>
      </c>
      <c r="M12" s="228">
        <f t="shared" si="1"/>
        <v>100</v>
      </c>
      <c r="N12" s="167">
        <f t="shared" si="2"/>
        <v>95.531057146678393</v>
      </c>
      <c r="O12" s="19"/>
    </row>
    <row r="13" spans="1:15" s="20" customFormat="1" ht="29.25" customHeight="1" x14ac:dyDescent="0.25">
      <c r="A13" s="386">
        <v>6172</v>
      </c>
      <c r="B13" s="1503" t="s">
        <v>254</v>
      </c>
      <c r="C13" s="1504"/>
      <c r="D13" s="402">
        <v>6601</v>
      </c>
      <c r="E13" s="403">
        <v>6544.34501</v>
      </c>
      <c r="F13" s="402">
        <v>5119</v>
      </c>
      <c r="G13" s="382">
        <v>5119</v>
      </c>
      <c r="H13" s="404">
        <v>3001.36</v>
      </c>
      <c r="I13" s="405">
        <f>1310+41</f>
        <v>1351</v>
      </c>
      <c r="J13" s="406">
        <v>0</v>
      </c>
      <c r="K13" s="407">
        <v>0</v>
      </c>
      <c r="L13" s="373">
        <f t="shared" si="0"/>
        <v>1351</v>
      </c>
      <c r="M13" s="408">
        <f>L13/F13*100</f>
        <v>26.391873412775936</v>
      </c>
      <c r="N13" s="385">
        <f>L13/G13*100</f>
        <v>26.391873412775936</v>
      </c>
      <c r="O13" s="19"/>
    </row>
    <row r="14" spans="1:15" s="20" customFormat="1" ht="30.75" customHeight="1" thickBot="1" x14ac:dyDescent="0.25">
      <c r="A14" s="386">
        <v>6172</v>
      </c>
      <c r="B14" s="1483" t="s">
        <v>255</v>
      </c>
      <c r="C14" s="1484"/>
      <c r="D14" s="402">
        <v>3355</v>
      </c>
      <c r="E14" s="403">
        <v>3283.3847500000002</v>
      </c>
      <c r="F14" s="402">
        <v>3237</v>
      </c>
      <c r="G14" s="382">
        <v>3607</v>
      </c>
      <c r="H14" s="404">
        <v>2623.24</v>
      </c>
      <c r="I14" s="405">
        <f>3138+99</f>
        <v>3237</v>
      </c>
      <c r="J14" s="406">
        <v>0</v>
      </c>
      <c r="K14" s="407">
        <v>0</v>
      </c>
      <c r="L14" s="373">
        <f t="shared" si="0"/>
        <v>3237</v>
      </c>
      <c r="M14" s="408">
        <f>L14/F14*100</f>
        <v>100</v>
      </c>
      <c r="N14" s="385">
        <f>L14/G14*100</f>
        <v>89.742168006653728</v>
      </c>
      <c r="O14" s="19"/>
    </row>
    <row r="15" spans="1:15" s="22" customFormat="1" ht="16.5" thickBot="1" x14ac:dyDescent="0.3">
      <c r="A15" s="973"/>
      <c r="B15" s="974" t="s">
        <v>99</v>
      </c>
      <c r="C15" s="975"/>
      <c r="D15" s="956">
        <f>+D10+D11+D13+D14</f>
        <v>34425</v>
      </c>
      <c r="E15" s="957">
        <f t="shared" ref="E15:L15" si="3">+E10+E11+E13+E14</f>
        <v>27186.713720000003</v>
      </c>
      <c r="F15" s="956">
        <f t="shared" si="3"/>
        <v>37443</v>
      </c>
      <c r="G15" s="958">
        <f t="shared" si="3"/>
        <v>42340.49</v>
      </c>
      <c r="H15" s="957">
        <f t="shared" si="3"/>
        <v>25739.03</v>
      </c>
      <c r="I15" s="956">
        <f t="shared" si="3"/>
        <v>37628</v>
      </c>
      <c r="J15" s="959">
        <f t="shared" si="3"/>
        <v>9110</v>
      </c>
      <c r="K15" s="976">
        <f t="shared" si="3"/>
        <v>1505</v>
      </c>
      <c r="L15" s="221">
        <f t="shared" si="3"/>
        <v>48243</v>
      </c>
      <c r="M15" s="977">
        <f t="shared" si="1"/>
        <v>128.84384264081405</v>
      </c>
      <c r="N15" s="962">
        <f t="shared" si="2"/>
        <v>113.94058028142801</v>
      </c>
      <c r="O15" s="21"/>
    </row>
    <row r="16" spans="1:15" ht="15" customHeight="1" x14ac:dyDescent="0.25">
      <c r="A16" s="145"/>
      <c r="B16" s="181"/>
      <c r="C16" s="23"/>
      <c r="D16" s="24"/>
      <c r="E16" s="25"/>
      <c r="F16" s="24"/>
      <c r="G16" s="26"/>
      <c r="H16" s="26"/>
      <c r="I16" s="27"/>
      <c r="J16" s="27"/>
      <c r="K16" s="27"/>
      <c r="L16" s="27"/>
      <c r="M16" s="28"/>
      <c r="N16" s="29"/>
      <c r="O16" s="19"/>
    </row>
    <row r="17" spans="1:15" x14ac:dyDescent="0.2">
      <c r="O17" s="19"/>
    </row>
    <row r="18" spans="1:15" ht="15" customHeight="1" x14ac:dyDescent="0.25">
      <c r="A18" s="23"/>
      <c r="B18" s="181"/>
      <c r="C18" s="23"/>
      <c r="D18" s="24"/>
      <c r="E18" s="25"/>
      <c r="F18" s="24"/>
      <c r="G18" s="26"/>
      <c r="H18" s="26"/>
      <c r="I18" s="3"/>
      <c r="J18" s="27"/>
      <c r="K18" s="27"/>
      <c r="L18" s="27"/>
      <c r="M18" s="28"/>
      <c r="N18" s="29"/>
      <c r="O18" s="19"/>
    </row>
    <row r="19" spans="1:15" x14ac:dyDescent="0.2">
      <c r="B19" s="182"/>
      <c r="C19" s="146"/>
    </row>
    <row r="22" spans="1:15" x14ac:dyDescent="0.2">
      <c r="A22" s="47"/>
    </row>
    <row r="23" spans="1:15" x14ac:dyDescent="0.2">
      <c r="A23" s="47"/>
    </row>
    <row r="24" spans="1:15" x14ac:dyDescent="0.2">
      <c r="A24" s="47"/>
    </row>
    <row r="26" spans="1:15" x14ac:dyDescent="0.2">
      <c r="A26" s="47"/>
    </row>
    <row r="27" spans="1:15" x14ac:dyDescent="0.2">
      <c r="A27" s="47"/>
    </row>
  </sheetData>
  <mergeCells count="11">
    <mergeCell ref="B7:C8"/>
    <mergeCell ref="B13:C13"/>
    <mergeCell ref="B14:C14"/>
    <mergeCell ref="A3:N3"/>
    <mergeCell ref="A7:A8"/>
    <mergeCell ref="D7:E7"/>
    <mergeCell ref="F7:H7"/>
    <mergeCell ref="I7:L7"/>
    <mergeCell ref="M7:M8"/>
    <mergeCell ref="N7:N8"/>
    <mergeCell ref="A11:A12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workbookViewId="0">
      <selection activeCell="H34" sqref="H34"/>
    </sheetView>
  </sheetViews>
  <sheetFormatPr defaultRowHeight="12.75" x14ac:dyDescent="0.2"/>
  <cols>
    <col min="1" max="1" width="7.7109375" style="148" customWidth="1"/>
    <col min="2" max="2" width="6.7109375" style="148" customWidth="1"/>
    <col min="3" max="3" width="40.7109375" style="148" customWidth="1"/>
    <col min="4" max="4" width="15.28515625" style="155" customWidth="1"/>
    <col min="5" max="5" width="15.28515625" style="755" customWidth="1"/>
    <col min="6" max="6" width="15.28515625" style="155" customWidth="1"/>
    <col min="7" max="8" width="15.28515625" style="755" customWidth="1"/>
    <col min="9" max="11" width="15.28515625" style="155" customWidth="1"/>
    <col min="12" max="12" width="15.28515625" style="153" customWidth="1"/>
    <col min="13" max="14" width="9.7109375" style="756" customWidth="1"/>
    <col min="15" max="15" width="9.42578125" style="148" bestFit="1" customWidth="1"/>
    <col min="16" max="16384" width="9.140625" style="148"/>
  </cols>
  <sheetData>
    <row r="1" spans="1:22" ht="15" x14ac:dyDescent="0.2">
      <c r="N1" s="757"/>
    </row>
    <row r="2" spans="1:22" ht="20.25" customHeight="1" x14ac:dyDescent="0.2">
      <c r="A2" s="1505" t="s">
        <v>154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  <c r="M2" s="1506"/>
      <c r="N2" s="1507"/>
    </row>
    <row r="3" spans="1:22" ht="15" customHeight="1" x14ac:dyDescent="0.2"/>
    <row r="4" spans="1:22" ht="20.100000000000001" customHeight="1" x14ac:dyDescent="0.2">
      <c r="A4" s="149" t="s">
        <v>357</v>
      </c>
      <c r="M4" s="758"/>
    </row>
    <row r="5" spans="1:22" ht="15" customHeight="1" thickBot="1" x14ac:dyDescent="0.25">
      <c r="A5" s="149"/>
      <c r="N5" s="758" t="s">
        <v>0</v>
      </c>
    </row>
    <row r="6" spans="1:22" s="759" customFormat="1" ht="15.95" customHeight="1" x14ac:dyDescent="0.2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2" s="759" customFormat="1" ht="27" customHeight="1" thickBot="1" x14ac:dyDescent="0.25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1253" t="s">
        <v>99</v>
      </c>
      <c r="M7" s="1480"/>
      <c r="N7" s="1482"/>
    </row>
    <row r="8" spans="1:22" s="229" customFormat="1" ht="20.100000000000001" customHeight="1" thickBot="1" x14ac:dyDescent="0.25">
      <c r="A8" s="150"/>
      <c r="B8" s="760" t="s">
        <v>158</v>
      </c>
      <c r="C8" s="760"/>
      <c r="D8" s="761"/>
      <c r="E8" s="762"/>
      <c r="F8" s="761"/>
      <c r="G8" s="763"/>
      <c r="H8" s="763"/>
      <c r="I8" s="764"/>
      <c r="J8" s="764"/>
      <c r="K8" s="764"/>
      <c r="L8" s="765"/>
      <c r="M8" s="766"/>
      <c r="N8" s="767"/>
    </row>
    <row r="9" spans="1:22" s="255" customFormat="1" ht="15" x14ac:dyDescent="0.2">
      <c r="A9" s="1513">
        <v>2212</v>
      </c>
      <c r="B9" s="1514" t="s">
        <v>175</v>
      </c>
      <c r="C9" s="1515"/>
      <c r="D9" s="392">
        <v>49050</v>
      </c>
      <c r="E9" s="768">
        <v>3036.4452299999998</v>
      </c>
      <c r="F9" s="508">
        <v>49050</v>
      </c>
      <c r="G9" s="570">
        <v>28803.62</v>
      </c>
      <c r="H9" s="481">
        <v>1531.04</v>
      </c>
      <c r="I9" s="482">
        <v>6050</v>
      </c>
      <c r="J9" s="396">
        <v>3000</v>
      </c>
      <c r="K9" s="397">
        <v>30950</v>
      </c>
      <c r="L9" s="366">
        <f>SUM(I9:K9)</f>
        <v>40000</v>
      </c>
      <c r="M9" s="398">
        <f>L9/F9*100</f>
        <v>81.549439347604476</v>
      </c>
      <c r="N9" s="520">
        <f>L9/G9*100</f>
        <v>138.87143352120324</v>
      </c>
      <c r="O9" s="769"/>
      <c r="P9" s="769"/>
      <c r="Q9" s="769"/>
      <c r="R9" s="769"/>
      <c r="S9" s="769"/>
      <c r="T9" s="769"/>
      <c r="U9" s="769"/>
      <c r="V9" s="769"/>
    </row>
    <row r="10" spans="1:22" s="206" customFormat="1" ht="15" customHeight="1" x14ac:dyDescent="0.2">
      <c r="A10" s="1512"/>
      <c r="B10" s="978" t="s">
        <v>133</v>
      </c>
      <c r="C10" s="770" t="s">
        <v>234</v>
      </c>
      <c r="D10" s="771">
        <v>40000</v>
      </c>
      <c r="E10" s="772">
        <v>0</v>
      </c>
      <c r="F10" s="232">
        <v>40000</v>
      </c>
      <c r="G10" s="850">
        <v>18300</v>
      </c>
      <c r="H10" s="851">
        <v>0</v>
      </c>
      <c r="I10" s="217">
        <v>0</v>
      </c>
      <c r="J10" s="218">
        <v>0</v>
      </c>
      <c r="K10" s="773">
        <v>30950</v>
      </c>
      <c r="L10" s="164">
        <f t="shared" ref="L10:L30" si="0">SUM(I10:K10)</f>
        <v>30950</v>
      </c>
      <c r="M10" s="774">
        <f t="shared" ref="M10:M34" si="1">L10/F10*100</f>
        <v>77.375</v>
      </c>
      <c r="N10" s="775">
        <f t="shared" ref="N10:N34" si="2">L10/G10*100</f>
        <v>169.12568306010928</v>
      </c>
    </row>
    <row r="11" spans="1:22" s="780" customFormat="1" ht="29.25" customHeight="1" x14ac:dyDescent="0.2">
      <c r="A11" s="1510">
        <v>2212</v>
      </c>
      <c r="B11" s="1508" t="s">
        <v>358</v>
      </c>
      <c r="C11" s="1509"/>
      <c r="D11" s="464">
        <f>SUM(D12:D14)</f>
        <v>1544040</v>
      </c>
      <c r="E11" s="776">
        <f>SUM(E12:E14)</f>
        <v>1908875</v>
      </c>
      <c r="F11" s="514">
        <f>SUM(F12:F14)</f>
        <v>1644040</v>
      </c>
      <c r="G11" s="650">
        <v>1757772.69</v>
      </c>
      <c r="H11" s="852">
        <v>1164178.18</v>
      </c>
      <c r="I11" s="468">
        <f t="shared" ref="I11:K11" si="3">SUM(I12:I14)</f>
        <v>1466881</v>
      </c>
      <c r="J11" s="459">
        <f t="shared" si="3"/>
        <v>93838</v>
      </c>
      <c r="K11" s="777">
        <f t="shared" si="3"/>
        <v>202669</v>
      </c>
      <c r="L11" s="373">
        <f t="shared" si="0"/>
        <v>1763388</v>
      </c>
      <c r="M11" s="778">
        <f t="shared" si="1"/>
        <v>107.25943407702975</v>
      </c>
      <c r="N11" s="779">
        <f t="shared" si="2"/>
        <v>100.31945598153536</v>
      </c>
      <c r="O11" s="1070"/>
      <c r="P11" s="1070"/>
    </row>
    <row r="12" spans="1:22" ht="15" customHeight="1" x14ac:dyDescent="0.2">
      <c r="A12" s="1511"/>
      <c r="B12" s="1516" t="s">
        <v>133</v>
      </c>
      <c r="C12" s="240" t="s">
        <v>208</v>
      </c>
      <c r="D12" s="215">
        <v>169271</v>
      </c>
      <c r="E12" s="772">
        <v>162531</v>
      </c>
      <c r="F12" s="781">
        <v>169271</v>
      </c>
      <c r="G12" s="853">
        <v>169271</v>
      </c>
      <c r="H12" s="216">
        <v>112000</v>
      </c>
      <c r="I12" s="1165">
        <v>108181</v>
      </c>
      <c r="J12" s="1166">
        <v>6363</v>
      </c>
      <c r="K12" s="1166">
        <v>12727</v>
      </c>
      <c r="L12" s="164">
        <f t="shared" si="0"/>
        <v>127271</v>
      </c>
      <c r="M12" s="774">
        <f t="shared" si="1"/>
        <v>75.187716738248128</v>
      </c>
      <c r="N12" s="775">
        <f t="shared" si="2"/>
        <v>75.187716738248128</v>
      </c>
    </row>
    <row r="13" spans="1:22" ht="15" customHeight="1" x14ac:dyDescent="0.2">
      <c r="A13" s="1511"/>
      <c r="B13" s="1517"/>
      <c r="C13" s="240" t="s">
        <v>209</v>
      </c>
      <c r="D13" s="215">
        <v>107992</v>
      </c>
      <c r="E13" s="772">
        <v>106469</v>
      </c>
      <c r="F13" s="232">
        <v>107992</v>
      </c>
      <c r="G13" s="850">
        <v>113391.6</v>
      </c>
      <c r="H13" s="851">
        <v>72000</v>
      </c>
      <c r="I13" s="1167">
        <v>96383</v>
      </c>
      <c r="J13" s="1166">
        <v>11339</v>
      </c>
      <c r="K13" s="1166">
        <v>5670</v>
      </c>
      <c r="L13" s="164">
        <v>113392</v>
      </c>
      <c r="M13" s="774">
        <f t="shared" si="1"/>
        <v>105.00037039780725</v>
      </c>
      <c r="N13" s="775">
        <f t="shared" si="2"/>
        <v>100.00035275981642</v>
      </c>
    </row>
    <row r="14" spans="1:22" ht="15" customHeight="1" x14ac:dyDescent="0.2">
      <c r="A14" s="1512"/>
      <c r="B14" s="1518"/>
      <c r="C14" s="240" t="s">
        <v>210</v>
      </c>
      <c r="D14" s="230">
        <v>1266777</v>
      </c>
      <c r="E14" s="782">
        <v>1639875</v>
      </c>
      <c r="F14" s="232">
        <v>1366777</v>
      </c>
      <c r="G14" s="850">
        <v>1475110.09</v>
      </c>
      <c r="H14" s="851">
        <v>980178.18</v>
      </c>
      <c r="I14" s="1165">
        <f>1294317-32000</f>
        <v>1262317</v>
      </c>
      <c r="J14" s="1166">
        <v>76136</v>
      </c>
      <c r="K14" s="1166">
        <f>152272+32000</f>
        <v>184272</v>
      </c>
      <c r="L14" s="164">
        <f t="shared" si="0"/>
        <v>1522725</v>
      </c>
      <c r="M14" s="228">
        <f t="shared" si="1"/>
        <v>111.40990812692925</v>
      </c>
      <c r="N14" s="167">
        <f t="shared" si="2"/>
        <v>103.2278885706761</v>
      </c>
    </row>
    <row r="15" spans="1:22" s="255" customFormat="1" ht="30" customHeight="1" x14ac:dyDescent="0.2">
      <c r="A15" s="1510">
        <v>2219</v>
      </c>
      <c r="B15" s="1508" t="s">
        <v>359</v>
      </c>
      <c r="C15" s="1509"/>
      <c r="D15" s="443">
        <v>0</v>
      </c>
      <c r="E15" s="783">
        <v>1536.7412200000001</v>
      </c>
      <c r="F15" s="494">
        <v>2800</v>
      </c>
      <c r="G15" s="579">
        <v>2800</v>
      </c>
      <c r="H15" s="444">
        <v>604.04999999999995</v>
      </c>
      <c r="I15" s="500">
        <v>500</v>
      </c>
      <c r="J15" s="484">
        <v>0</v>
      </c>
      <c r="K15" s="777">
        <v>0</v>
      </c>
      <c r="L15" s="373">
        <f t="shared" si="0"/>
        <v>500</v>
      </c>
      <c r="M15" s="408">
        <f t="shared" si="1"/>
        <v>17.857142857142858</v>
      </c>
      <c r="N15" s="385">
        <f t="shared" si="2"/>
        <v>17.857142857142858</v>
      </c>
    </row>
    <row r="16" spans="1:22" s="255" customFormat="1" ht="15" customHeight="1" x14ac:dyDescent="0.2">
      <c r="A16" s="1512"/>
      <c r="B16" s="978" t="s">
        <v>133</v>
      </c>
      <c r="C16" s="770" t="s">
        <v>234</v>
      </c>
      <c r="D16" s="230">
        <v>0</v>
      </c>
      <c r="E16" s="782">
        <v>499.8</v>
      </c>
      <c r="F16" s="224">
        <v>500</v>
      </c>
      <c r="G16" s="1254">
        <v>500</v>
      </c>
      <c r="H16" s="1255">
        <v>100.43</v>
      </c>
      <c r="I16" s="1256">
        <v>0</v>
      </c>
      <c r="J16" s="172">
        <v>0</v>
      </c>
      <c r="K16" s="773">
        <v>0</v>
      </c>
      <c r="L16" s="164">
        <f t="shared" si="0"/>
        <v>0</v>
      </c>
      <c r="M16" s="228">
        <f t="shared" si="1"/>
        <v>0</v>
      </c>
      <c r="N16" s="167">
        <f t="shared" si="2"/>
        <v>0</v>
      </c>
    </row>
    <row r="17" spans="1:19" s="255" customFormat="1" ht="20.100000000000001" customHeight="1" x14ac:dyDescent="0.2">
      <c r="A17" s="628">
        <v>2222</v>
      </c>
      <c r="B17" s="1508" t="s">
        <v>360</v>
      </c>
      <c r="C17" s="1509"/>
      <c r="D17" s="443">
        <v>0</v>
      </c>
      <c r="E17" s="783">
        <v>0</v>
      </c>
      <c r="F17" s="522">
        <v>0</v>
      </c>
      <c r="G17" s="854">
        <v>6</v>
      </c>
      <c r="H17" s="855">
        <v>6</v>
      </c>
      <c r="I17" s="447">
        <v>0</v>
      </c>
      <c r="J17" s="484">
        <v>0</v>
      </c>
      <c r="K17" s="777">
        <v>0</v>
      </c>
      <c r="L17" s="373">
        <f t="shared" si="0"/>
        <v>0</v>
      </c>
      <c r="M17" s="408" t="s">
        <v>71</v>
      </c>
      <c r="N17" s="385">
        <f t="shared" si="2"/>
        <v>0</v>
      </c>
    </row>
    <row r="18" spans="1:19" s="255" customFormat="1" ht="20.100000000000001" customHeight="1" x14ac:dyDescent="0.2">
      <c r="A18" s="628">
        <v>2223</v>
      </c>
      <c r="B18" s="1508" t="s">
        <v>300</v>
      </c>
      <c r="C18" s="1509"/>
      <c r="D18" s="443">
        <v>15335</v>
      </c>
      <c r="E18" s="783">
        <v>6813.3912600000003</v>
      </c>
      <c r="F18" s="522">
        <v>15335</v>
      </c>
      <c r="G18" s="854">
        <v>18666.91</v>
      </c>
      <c r="H18" s="855">
        <v>2123.62</v>
      </c>
      <c r="I18" s="447">
        <v>10335</v>
      </c>
      <c r="J18" s="484">
        <v>0</v>
      </c>
      <c r="K18" s="777">
        <v>0</v>
      </c>
      <c r="L18" s="373">
        <f t="shared" si="0"/>
        <v>10335</v>
      </c>
      <c r="M18" s="408">
        <f t="shared" si="1"/>
        <v>67.394848386044998</v>
      </c>
      <c r="N18" s="385">
        <f t="shared" si="2"/>
        <v>55.365349701691393</v>
      </c>
    </row>
    <row r="19" spans="1:19" s="255" customFormat="1" ht="29.25" customHeight="1" x14ac:dyDescent="0.2">
      <c r="A19" s="628">
        <v>2239</v>
      </c>
      <c r="B19" s="1508" t="s">
        <v>361</v>
      </c>
      <c r="C19" s="1509"/>
      <c r="D19" s="443">
        <v>0</v>
      </c>
      <c r="E19" s="783">
        <v>1440</v>
      </c>
      <c r="F19" s="522">
        <v>0</v>
      </c>
      <c r="G19" s="854">
        <v>3970</v>
      </c>
      <c r="H19" s="855">
        <v>0</v>
      </c>
      <c r="I19" s="447">
        <v>3570</v>
      </c>
      <c r="J19" s="484">
        <v>0</v>
      </c>
      <c r="K19" s="840">
        <v>0</v>
      </c>
      <c r="L19" s="373">
        <f t="shared" si="0"/>
        <v>3570</v>
      </c>
      <c r="M19" s="408" t="s">
        <v>71</v>
      </c>
      <c r="N19" s="385">
        <f t="shared" si="2"/>
        <v>89.924433249370267</v>
      </c>
    </row>
    <row r="20" spans="1:19" s="255" customFormat="1" ht="20.100000000000001" customHeight="1" x14ac:dyDescent="0.2">
      <c r="A20" s="1510">
        <v>2292</v>
      </c>
      <c r="B20" s="1508" t="s">
        <v>362</v>
      </c>
      <c r="C20" s="1509"/>
      <c r="D20" s="443">
        <v>2422382</v>
      </c>
      <c r="E20" s="783">
        <v>2433599.7318299999</v>
      </c>
      <c r="F20" s="494">
        <v>2583144</v>
      </c>
      <c r="G20" s="579">
        <v>2653850.7599999998</v>
      </c>
      <c r="H20" s="444">
        <v>1889357.99</v>
      </c>
      <c r="I20" s="447">
        <v>2857656</v>
      </c>
      <c r="J20" s="484">
        <v>29159</v>
      </c>
      <c r="K20" s="777">
        <v>29159</v>
      </c>
      <c r="L20" s="373">
        <f t="shared" si="0"/>
        <v>2915974</v>
      </c>
      <c r="M20" s="408">
        <f t="shared" si="1"/>
        <v>112.88468625829609</v>
      </c>
      <c r="N20" s="385">
        <f t="shared" si="2"/>
        <v>109.87709045100939</v>
      </c>
    </row>
    <row r="21" spans="1:19" s="255" customFormat="1" ht="15" customHeight="1" x14ac:dyDescent="0.2">
      <c r="A21" s="1511"/>
      <c r="B21" s="1516" t="s">
        <v>133</v>
      </c>
      <c r="C21" s="240" t="s">
        <v>460</v>
      </c>
      <c r="D21" s="230">
        <v>1115646</v>
      </c>
      <c r="E21" s="1208">
        <v>1117726.03</v>
      </c>
      <c r="F21" s="232">
        <v>1170893</v>
      </c>
      <c r="G21" s="850">
        <v>1220795.8600000001</v>
      </c>
      <c r="H21" s="851">
        <v>871363.69</v>
      </c>
      <c r="I21" s="232">
        <v>1253420</v>
      </c>
      <c r="J21" s="1209">
        <v>12790</v>
      </c>
      <c r="K21" s="1210">
        <v>12790</v>
      </c>
      <c r="L21" s="1211">
        <f t="shared" ref="L21:L22" si="4">SUM(I21:K21)</f>
        <v>1279000</v>
      </c>
      <c r="M21" s="1212">
        <f t="shared" ref="M21:M22" si="5">L21/F21*100</f>
        <v>109.23286756347505</v>
      </c>
      <c r="N21" s="1213">
        <f t="shared" ref="N21:N22" si="6">L21/G21*100</f>
        <v>104.76772095213363</v>
      </c>
      <c r="Q21" s="1207"/>
    </row>
    <row r="22" spans="1:19" s="255" customFormat="1" ht="15" customHeight="1" x14ac:dyDescent="0.2">
      <c r="A22" s="1512"/>
      <c r="B22" s="1518"/>
      <c r="C22" s="240" t="s">
        <v>461</v>
      </c>
      <c r="D22" s="230">
        <v>1306736</v>
      </c>
      <c r="E22" s="1208">
        <v>1315873.7</v>
      </c>
      <c r="F22" s="232">
        <v>1412251</v>
      </c>
      <c r="G22" s="850">
        <v>1433054.9</v>
      </c>
      <c r="H22" s="851">
        <v>1017994.3</v>
      </c>
      <c r="I22" s="232">
        <v>1604236</v>
      </c>
      <c r="J22" s="1209">
        <v>16369</v>
      </c>
      <c r="K22" s="1210">
        <v>16369</v>
      </c>
      <c r="L22" s="1211">
        <f t="shared" si="4"/>
        <v>1636974</v>
      </c>
      <c r="M22" s="1212">
        <f t="shared" si="5"/>
        <v>115.9123980085693</v>
      </c>
      <c r="N22" s="1213">
        <f t="shared" si="6"/>
        <v>114.22967815119993</v>
      </c>
      <c r="Q22" s="1207"/>
    </row>
    <row r="23" spans="1:19" s="255" customFormat="1" ht="29.25" customHeight="1" x14ac:dyDescent="0.2">
      <c r="A23" s="1510">
        <v>2292</v>
      </c>
      <c r="B23" s="1508" t="s">
        <v>363</v>
      </c>
      <c r="C23" s="1509"/>
      <c r="D23" s="443">
        <f>SUM(D24:D26)</f>
        <v>33401</v>
      </c>
      <c r="E23" s="446">
        <f t="shared" ref="E23:F23" si="7">SUM(E24:E26)</f>
        <v>37601</v>
      </c>
      <c r="F23" s="486">
        <f t="shared" si="7"/>
        <v>51259</v>
      </c>
      <c r="G23" s="445">
        <v>52796.25</v>
      </c>
      <c r="H23" s="446">
        <v>41957.4</v>
      </c>
      <c r="I23" s="447">
        <f>SUM(I24:I27)</f>
        <v>77140</v>
      </c>
      <c r="J23" s="484">
        <f t="shared" ref="J23:K23" si="8">SUM(J24:J27)</f>
        <v>7017</v>
      </c>
      <c r="K23" s="777">
        <f t="shared" si="8"/>
        <v>6593</v>
      </c>
      <c r="L23" s="373">
        <f t="shared" ref="L23:L29" si="9">SUM(I23:K23)</f>
        <v>90750</v>
      </c>
      <c r="M23" s="408">
        <f t="shared" si="1"/>
        <v>177.04208041514661</v>
      </c>
      <c r="N23" s="385">
        <f t="shared" si="2"/>
        <v>171.88720789828824</v>
      </c>
      <c r="P23" s="1207"/>
      <c r="Q23" s="1207"/>
      <c r="R23" s="1207"/>
      <c r="S23" s="1207"/>
    </row>
    <row r="24" spans="1:19" ht="15" customHeight="1" x14ac:dyDescent="0.2">
      <c r="A24" s="1511"/>
      <c r="B24" s="1516" t="s">
        <v>133</v>
      </c>
      <c r="C24" s="240" t="s">
        <v>208</v>
      </c>
      <c r="D24" s="230">
        <v>15936</v>
      </c>
      <c r="E24" s="782">
        <v>15936</v>
      </c>
      <c r="F24" s="232">
        <v>20414</v>
      </c>
      <c r="G24" s="850">
        <v>20414</v>
      </c>
      <c r="H24" s="851">
        <v>16702.400000000001</v>
      </c>
      <c r="I24" s="1168">
        <v>13029</v>
      </c>
      <c r="J24" s="1166">
        <v>766</v>
      </c>
      <c r="K24" s="1169">
        <v>1532</v>
      </c>
      <c r="L24" s="164">
        <f t="shared" si="9"/>
        <v>15327</v>
      </c>
      <c r="M24" s="228">
        <f t="shared" si="1"/>
        <v>75.080826883511321</v>
      </c>
      <c r="N24" s="167">
        <f t="shared" si="2"/>
        <v>75.080826883511321</v>
      </c>
      <c r="P24" s="1207"/>
    </row>
    <row r="25" spans="1:19" ht="15" customHeight="1" x14ac:dyDescent="0.2">
      <c r="A25" s="1511"/>
      <c r="B25" s="1517"/>
      <c r="C25" s="240" t="s">
        <v>209</v>
      </c>
      <c r="D25" s="230">
        <v>17365</v>
      </c>
      <c r="E25" s="782">
        <v>21565</v>
      </c>
      <c r="F25" s="232">
        <v>30745</v>
      </c>
      <c r="G25" s="850">
        <v>32282.25</v>
      </c>
      <c r="H25" s="851">
        <v>25155</v>
      </c>
      <c r="I25" s="1168">
        <v>42180</v>
      </c>
      <c r="J25" s="1166">
        <v>4962</v>
      </c>
      <c r="K25" s="1169">
        <v>2481</v>
      </c>
      <c r="L25" s="164">
        <f t="shared" si="9"/>
        <v>49623</v>
      </c>
      <c r="M25" s="228">
        <f t="shared" si="1"/>
        <v>161.4018539599935</v>
      </c>
      <c r="N25" s="167">
        <f t="shared" si="2"/>
        <v>153.71605139047</v>
      </c>
    </row>
    <row r="26" spans="1:19" ht="15" customHeight="1" x14ac:dyDescent="0.2">
      <c r="A26" s="1511"/>
      <c r="B26" s="1517"/>
      <c r="C26" s="240" t="s">
        <v>210</v>
      </c>
      <c r="D26" s="230">
        <v>100</v>
      </c>
      <c r="E26" s="782">
        <v>100</v>
      </c>
      <c r="F26" s="232">
        <v>100</v>
      </c>
      <c r="G26" s="850">
        <v>100</v>
      </c>
      <c r="H26" s="851">
        <v>100</v>
      </c>
      <c r="I26" s="1168">
        <v>43</v>
      </c>
      <c r="J26" s="1166">
        <v>2</v>
      </c>
      <c r="K26" s="1169">
        <v>5</v>
      </c>
      <c r="L26" s="164">
        <f t="shared" si="9"/>
        <v>50</v>
      </c>
      <c r="M26" s="228">
        <f t="shared" si="1"/>
        <v>50</v>
      </c>
      <c r="N26" s="167">
        <f t="shared" si="2"/>
        <v>50</v>
      </c>
    </row>
    <row r="27" spans="1:19" ht="15" customHeight="1" x14ac:dyDescent="0.2">
      <c r="A27" s="1512"/>
      <c r="B27" s="1518"/>
      <c r="C27" s="240" t="s">
        <v>469</v>
      </c>
      <c r="D27" s="230">
        <v>0</v>
      </c>
      <c r="E27" s="782">
        <v>0</v>
      </c>
      <c r="F27" s="232">
        <v>0</v>
      </c>
      <c r="G27" s="850">
        <v>0</v>
      </c>
      <c r="H27" s="851">
        <v>0</v>
      </c>
      <c r="I27" s="1168">
        <v>21888</v>
      </c>
      <c r="J27" s="1166">
        <v>1287</v>
      </c>
      <c r="K27" s="1169">
        <v>2575</v>
      </c>
      <c r="L27" s="164">
        <f t="shared" ref="L27" si="10">SUM(I27:K27)</f>
        <v>25750</v>
      </c>
      <c r="M27" s="228" t="s">
        <v>159</v>
      </c>
      <c r="N27" s="167" t="s">
        <v>159</v>
      </c>
    </row>
    <row r="28" spans="1:19" ht="20.100000000000001" customHeight="1" x14ac:dyDescent="0.2">
      <c r="A28" s="628">
        <v>2299</v>
      </c>
      <c r="B28" s="1508" t="s">
        <v>178</v>
      </c>
      <c r="C28" s="1509"/>
      <c r="D28" s="443">
        <v>5000</v>
      </c>
      <c r="E28" s="783">
        <v>1790.8</v>
      </c>
      <c r="F28" s="494">
        <v>5000</v>
      </c>
      <c r="G28" s="579">
        <v>6358.88</v>
      </c>
      <c r="H28" s="444">
        <v>1319.38</v>
      </c>
      <c r="I28" s="447">
        <v>2000</v>
      </c>
      <c r="J28" s="484">
        <v>0</v>
      </c>
      <c r="K28" s="777">
        <v>0</v>
      </c>
      <c r="L28" s="373">
        <f t="shared" si="9"/>
        <v>2000</v>
      </c>
      <c r="M28" s="408">
        <f t="shared" ref="M28" si="11">L28/F28*100</f>
        <v>40</v>
      </c>
      <c r="N28" s="385">
        <f t="shared" ref="N28" si="12">L28/G28*100</f>
        <v>31.452079611503912</v>
      </c>
    </row>
    <row r="29" spans="1:19" ht="29.25" customHeight="1" x14ac:dyDescent="0.2">
      <c r="A29" s="845">
        <v>4349</v>
      </c>
      <c r="B29" s="1508" t="s">
        <v>364</v>
      </c>
      <c r="C29" s="1509"/>
      <c r="D29" s="402">
        <v>0</v>
      </c>
      <c r="E29" s="1162">
        <v>484.44900000000001</v>
      </c>
      <c r="F29" s="522">
        <v>30000</v>
      </c>
      <c r="G29" s="854">
        <v>25527.94</v>
      </c>
      <c r="H29" s="855">
        <v>4347.8</v>
      </c>
      <c r="I29" s="1163">
        <v>0</v>
      </c>
      <c r="J29" s="751">
        <v>15000</v>
      </c>
      <c r="K29" s="448">
        <v>0</v>
      </c>
      <c r="L29" s="753">
        <f t="shared" si="9"/>
        <v>15000</v>
      </c>
      <c r="M29" s="408">
        <f t="shared" si="1"/>
        <v>50</v>
      </c>
      <c r="N29" s="385">
        <f t="shared" si="2"/>
        <v>58.75914781999645</v>
      </c>
    </row>
    <row r="30" spans="1:19" ht="20.100000000000001" customHeight="1" x14ac:dyDescent="0.2">
      <c r="A30" s="845">
        <v>6172</v>
      </c>
      <c r="B30" s="1508" t="s">
        <v>160</v>
      </c>
      <c r="C30" s="1509"/>
      <c r="D30" s="402">
        <v>100</v>
      </c>
      <c r="E30" s="1162">
        <v>0</v>
      </c>
      <c r="F30" s="522">
        <v>100</v>
      </c>
      <c r="G30" s="854">
        <v>100</v>
      </c>
      <c r="H30" s="855">
        <v>90.44</v>
      </c>
      <c r="I30" s="1163">
        <v>0</v>
      </c>
      <c r="J30" s="751">
        <v>0</v>
      </c>
      <c r="K30" s="448">
        <v>180</v>
      </c>
      <c r="L30" s="753">
        <f t="shared" si="0"/>
        <v>180</v>
      </c>
      <c r="M30" s="408">
        <f t="shared" si="1"/>
        <v>180</v>
      </c>
      <c r="N30" s="385">
        <f t="shared" si="2"/>
        <v>180</v>
      </c>
    </row>
    <row r="31" spans="1:19" ht="29.25" customHeight="1" x14ac:dyDescent="0.2">
      <c r="A31" s="845">
        <v>2212</v>
      </c>
      <c r="B31" s="1508" t="s">
        <v>398</v>
      </c>
      <c r="C31" s="1509"/>
      <c r="D31" s="402">
        <v>0</v>
      </c>
      <c r="E31" s="1162">
        <v>0</v>
      </c>
      <c r="F31" s="522">
        <v>0</v>
      </c>
      <c r="G31" s="854">
        <v>222.38</v>
      </c>
      <c r="H31" s="855">
        <v>117.08</v>
      </c>
      <c r="I31" s="1163">
        <v>0</v>
      </c>
      <c r="J31" s="751">
        <v>0</v>
      </c>
      <c r="K31" s="448">
        <v>0</v>
      </c>
      <c r="L31" s="753">
        <f t="shared" ref="L31:L33" si="13">SUM(I31:K31)</f>
        <v>0</v>
      </c>
      <c r="M31" s="408" t="s">
        <v>71</v>
      </c>
      <c r="N31" s="385">
        <f t="shared" ref="N31:N33" si="14">L31/G31*100</f>
        <v>0</v>
      </c>
    </row>
    <row r="32" spans="1:19" ht="29.25" customHeight="1" x14ac:dyDescent="0.2">
      <c r="A32" s="845">
        <v>2212</v>
      </c>
      <c r="B32" s="1508" t="s">
        <v>399</v>
      </c>
      <c r="C32" s="1509"/>
      <c r="D32" s="402">
        <v>0</v>
      </c>
      <c r="E32" s="1162">
        <v>0</v>
      </c>
      <c r="F32" s="522">
        <v>0</v>
      </c>
      <c r="G32" s="854">
        <v>1803.7</v>
      </c>
      <c r="H32" s="855">
        <v>1783.94</v>
      </c>
      <c r="I32" s="1163">
        <v>0</v>
      </c>
      <c r="J32" s="751">
        <v>0</v>
      </c>
      <c r="K32" s="448">
        <v>0</v>
      </c>
      <c r="L32" s="753">
        <f t="shared" si="13"/>
        <v>0</v>
      </c>
      <c r="M32" s="408" t="s">
        <v>71</v>
      </c>
      <c r="N32" s="385">
        <f t="shared" si="14"/>
        <v>0</v>
      </c>
    </row>
    <row r="33" spans="1:16" ht="29.25" customHeight="1" thickBot="1" x14ac:dyDescent="0.25">
      <c r="A33" s="845">
        <v>2219</v>
      </c>
      <c r="B33" s="1508" t="s">
        <v>400</v>
      </c>
      <c r="C33" s="1509"/>
      <c r="D33" s="402">
        <v>0</v>
      </c>
      <c r="E33" s="1162">
        <v>0</v>
      </c>
      <c r="F33" s="522">
        <v>0</v>
      </c>
      <c r="G33" s="854">
        <v>145.33000000000001</v>
      </c>
      <c r="H33" s="855">
        <v>145.33000000000001</v>
      </c>
      <c r="I33" s="1163">
        <v>0</v>
      </c>
      <c r="J33" s="751">
        <v>0</v>
      </c>
      <c r="K33" s="1164">
        <v>0</v>
      </c>
      <c r="L33" s="753">
        <f t="shared" si="13"/>
        <v>0</v>
      </c>
      <c r="M33" s="408" t="s">
        <v>71</v>
      </c>
      <c r="N33" s="385">
        <f t="shared" si="14"/>
        <v>0</v>
      </c>
    </row>
    <row r="34" spans="1:16" ht="15" customHeight="1" thickBot="1" x14ac:dyDescent="0.25">
      <c r="A34" s="963"/>
      <c r="B34" s="1489" t="s">
        <v>99</v>
      </c>
      <c r="C34" s="1490"/>
      <c r="D34" s="956">
        <f>D9+D11+D15+D17+D18+D19+D20+D23+D28+D30+D29</f>
        <v>4069308</v>
      </c>
      <c r="E34" s="979">
        <f>E9+E11+E15+E17+E18+E19+E20+E23+E28+E30+E29</f>
        <v>4395177.5585399996</v>
      </c>
      <c r="F34" s="976">
        <f t="shared" ref="F34:K34" si="15">F9+F11+F15+F17+F18+F19+F20+F23+F28+F30+F29+F31+F32+F33</f>
        <v>4380728</v>
      </c>
      <c r="G34" s="958">
        <f t="shared" si="15"/>
        <v>4552824.46</v>
      </c>
      <c r="H34" s="958">
        <f t="shared" si="15"/>
        <v>3107562.2499999995</v>
      </c>
      <c r="I34" s="956">
        <f t="shared" si="15"/>
        <v>4424132</v>
      </c>
      <c r="J34" s="959">
        <f t="shared" si="15"/>
        <v>148014</v>
      </c>
      <c r="K34" s="980">
        <f t="shared" si="15"/>
        <v>269551</v>
      </c>
      <c r="L34" s="221">
        <f>L9+L11+L15+L17+L18+L19+L20+L23+L28+L30+L29</f>
        <v>4841697</v>
      </c>
      <c r="M34" s="977">
        <f t="shared" si="1"/>
        <v>110.52265742132359</v>
      </c>
      <c r="N34" s="962">
        <f t="shared" si="2"/>
        <v>106.3449083648615</v>
      </c>
    </row>
    <row r="35" spans="1:16" ht="15" customHeight="1" x14ac:dyDescent="0.2">
      <c r="A35" s="151"/>
      <c r="B35" s="151"/>
      <c r="C35" s="151"/>
      <c r="D35" s="841"/>
      <c r="E35" s="914"/>
      <c r="F35" s="841"/>
      <c r="G35" s="915"/>
      <c r="H35" s="915"/>
      <c r="I35" s="594"/>
      <c r="J35" s="594"/>
      <c r="K35" s="594"/>
      <c r="L35" s="594"/>
      <c r="M35" s="787"/>
      <c r="N35" s="595"/>
    </row>
    <row r="36" spans="1:16" ht="12.75" customHeight="1" x14ac:dyDescent="0.2">
      <c r="A36" s="151"/>
      <c r="B36" s="151"/>
      <c r="C36" s="151"/>
      <c r="D36" s="841"/>
      <c r="E36" s="914"/>
      <c r="F36" s="841"/>
      <c r="G36" s="914"/>
      <c r="H36" s="914"/>
      <c r="I36" s="594"/>
      <c r="J36" s="594"/>
      <c r="K36" s="594"/>
      <c r="L36" s="594"/>
      <c r="M36" s="787"/>
      <c r="N36" s="595"/>
    </row>
    <row r="37" spans="1:16" ht="12.75" customHeight="1" x14ac:dyDescent="0.2">
      <c r="A37" s="151"/>
      <c r="B37" s="151"/>
      <c r="C37" s="151"/>
      <c r="D37" s="784"/>
      <c r="E37" s="785"/>
      <c r="F37" s="784"/>
      <c r="G37" s="786"/>
      <c r="H37" s="786"/>
      <c r="I37" s="594"/>
      <c r="J37" s="594"/>
      <c r="K37" s="594"/>
      <c r="L37" s="594"/>
      <c r="M37" s="787"/>
      <c r="N37" s="595"/>
    </row>
    <row r="38" spans="1:16" ht="12.75" customHeight="1" x14ac:dyDescent="0.2">
      <c r="A38" s="151"/>
      <c r="B38" s="151"/>
      <c r="C38" s="151"/>
      <c r="D38" s="841"/>
      <c r="E38" s="841"/>
      <c r="F38" s="841"/>
      <c r="G38" s="841"/>
      <c r="H38" s="841"/>
      <c r="I38" s="841"/>
      <c r="J38" s="841"/>
      <c r="K38" s="841"/>
      <c r="L38" s="841"/>
      <c r="M38" s="787"/>
      <c r="N38" s="595"/>
    </row>
    <row r="39" spans="1:16" ht="12.75" customHeight="1" x14ac:dyDescent="0.2">
      <c r="A39" s="151"/>
      <c r="B39" s="151"/>
      <c r="C39" s="151"/>
      <c r="D39" s="841"/>
      <c r="E39" s="841"/>
      <c r="F39" s="841"/>
      <c r="G39" s="841"/>
      <c r="H39" s="841"/>
      <c r="I39" s="841"/>
      <c r="J39" s="841"/>
      <c r="K39" s="841"/>
      <c r="L39" s="841"/>
      <c r="M39" s="787"/>
      <c r="N39" s="595"/>
    </row>
    <row r="40" spans="1:16" ht="12.75" customHeight="1" x14ac:dyDescent="0.2">
      <c r="A40" s="151"/>
      <c r="B40" s="151"/>
      <c r="C40" s="151"/>
      <c r="D40" s="841"/>
      <c r="E40" s="841"/>
      <c r="F40" s="841"/>
      <c r="G40" s="841"/>
      <c r="H40" s="841"/>
      <c r="I40" s="841"/>
      <c r="J40" s="841"/>
      <c r="K40" s="841"/>
      <c r="L40" s="841"/>
      <c r="M40" s="787"/>
      <c r="N40" s="595"/>
    </row>
    <row r="41" spans="1:16" ht="15" customHeight="1" x14ac:dyDescent="0.2">
      <c r="A41" s="151"/>
      <c r="B41" s="151"/>
      <c r="C41" s="151"/>
      <c r="D41" s="594"/>
      <c r="E41" s="594"/>
      <c r="F41" s="594"/>
      <c r="G41" s="594"/>
      <c r="H41" s="786"/>
      <c r="I41" s="596"/>
      <c r="J41" s="596"/>
      <c r="K41" s="596"/>
      <c r="L41" s="594"/>
      <c r="M41" s="787"/>
      <c r="N41" s="788"/>
      <c r="O41" s="596"/>
      <c r="P41" s="596"/>
    </row>
    <row r="42" spans="1:16" ht="15" customHeight="1" x14ac:dyDescent="0.2">
      <c r="I42" s="789"/>
      <c r="J42" s="789"/>
      <c r="K42" s="789"/>
      <c r="L42" s="790"/>
    </row>
    <row r="43" spans="1:16" ht="15" customHeight="1" x14ac:dyDescent="0.2">
      <c r="A43" s="152"/>
    </row>
    <row r="44" spans="1:16" x14ac:dyDescent="0.2">
      <c r="A44" s="152"/>
    </row>
    <row r="45" spans="1:16" x14ac:dyDescent="0.2">
      <c r="A45" s="152"/>
    </row>
    <row r="47" spans="1:16" x14ac:dyDescent="0.2">
      <c r="A47" s="152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</row>
    <row r="48" spans="1:16" x14ac:dyDescent="0.2">
      <c r="A48" s="152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</sheetData>
  <mergeCells count="31">
    <mergeCell ref="A15:A16"/>
    <mergeCell ref="B21:B22"/>
    <mergeCell ref="B29:C29"/>
    <mergeCell ref="B30:C30"/>
    <mergeCell ref="B34:C34"/>
    <mergeCell ref="B33:C33"/>
    <mergeCell ref="A20:A22"/>
    <mergeCell ref="B11:C11"/>
    <mergeCell ref="B23:C23"/>
    <mergeCell ref="B31:C31"/>
    <mergeCell ref="B32:C32"/>
    <mergeCell ref="B12:B14"/>
    <mergeCell ref="B24:B27"/>
    <mergeCell ref="B19:C19"/>
    <mergeCell ref="B20:C20"/>
    <mergeCell ref="A2:N2"/>
    <mergeCell ref="B28:C28"/>
    <mergeCell ref="A11:A14"/>
    <mergeCell ref="A9:A10"/>
    <mergeCell ref="B15:C15"/>
    <mergeCell ref="B17:C17"/>
    <mergeCell ref="B18:C18"/>
    <mergeCell ref="M6:M7"/>
    <mergeCell ref="N6:N7"/>
    <mergeCell ref="A6:A7"/>
    <mergeCell ref="D6:E6"/>
    <mergeCell ref="F6:H6"/>
    <mergeCell ref="A23:A27"/>
    <mergeCell ref="I6:L6"/>
    <mergeCell ref="B6:C7"/>
    <mergeCell ref="B9:C9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4" fitToHeight="0" orientation="landscape" r:id="rId1"/>
  <headerFooter alignWithMargins="0"/>
  <rowBreaks count="1" manualBreakCount="1">
    <brk id="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workbookViewId="0">
      <selection activeCell="P24" sqref="P24"/>
    </sheetView>
  </sheetViews>
  <sheetFormatPr defaultRowHeight="12.75" x14ac:dyDescent="0.2"/>
  <cols>
    <col min="1" max="1" width="7.7109375" style="183" customWidth="1"/>
    <col min="2" max="2" width="6.7109375" style="184" customWidth="1"/>
    <col min="3" max="3" width="41.5703125" style="185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28515625" style="2" customWidth="1"/>
    <col min="11" max="11" width="14.7109375" style="2" customWidth="1"/>
    <col min="12" max="12" width="14.7109375" style="4" customWidth="1"/>
    <col min="13" max="14" width="9.7109375" style="5" customWidth="1"/>
    <col min="15" max="15" width="9.140625" style="1"/>
    <col min="16" max="16" width="11.5703125" style="1" customWidth="1"/>
    <col min="17" max="16384" width="9.140625" style="1"/>
  </cols>
  <sheetData>
    <row r="1" spans="1:23" ht="15" customHeight="1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/>
    <row r="4" spans="1:23" ht="20.100000000000001" customHeight="1" x14ac:dyDescent="0.3">
      <c r="A4" s="186" t="s">
        <v>198</v>
      </c>
      <c r="M4" s="8"/>
    </row>
    <row r="5" spans="1:23" ht="15" customHeight="1" thickBot="1" x14ac:dyDescent="0.35">
      <c r="A5" s="187"/>
      <c r="D5" s="188"/>
      <c r="H5" s="189"/>
      <c r="K5" s="188"/>
      <c r="N5" s="8" t="s">
        <v>0</v>
      </c>
    </row>
    <row r="6" spans="1:23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3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23" s="18" customFormat="1" ht="20.100000000000001" customHeight="1" thickBot="1" x14ac:dyDescent="0.3">
      <c r="A8" s="190"/>
      <c r="B8" s="191" t="s">
        <v>158</v>
      </c>
      <c r="C8" s="192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193" customFormat="1" ht="20.100000000000001" customHeight="1" x14ac:dyDescent="0.2">
      <c r="A9" s="1524" t="s">
        <v>386</v>
      </c>
      <c r="B9" s="1525"/>
      <c r="C9" s="1526"/>
      <c r="D9" s="531">
        <f>SUM(D11:D22)</f>
        <v>472688</v>
      </c>
      <c r="E9" s="532">
        <f t="shared" ref="E9:K9" si="0">SUM(E11:E22)</f>
        <v>518214.85</v>
      </c>
      <c r="F9" s="531">
        <f t="shared" si="0"/>
        <v>477415</v>
      </c>
      <c r="G9" s="533">
        <f t="shared" si="0"/>
        <v>479235.73000000004</v>
      </c>
      <c r="H9" s="534">
        <f t="shared" si="0"/>
        <v>349279.74999999994</v>
      </c>
      <c r="I9" s="535">
        <f t="shared" si="0"/>
        <v>483879</v>
      </c>
      <c r="J9" s="536">
        <f t="shared" si="0"/>
        <v>42536</v>
      </c>
      <c r="K9" s="537">
        <f t="shared" si="0"/>
        <v>0</v>
      </c>
      <c r="L9" s="538">
        <f>SUM(I9:K9)</f>
        <v>526415</v>
      </c>
      <c r="M9" s="539">
        <f>L9/F9*100</f>
        <v>110.26360713425427</v>
      </c>
      <c r="N9" s="540">
        <f>L9/G9*100</f>
        <v>109.84468958522771</v>
      </c>
      <c r="P9" s="194"/>
      <c r="Q9" s="154"/>
      <c r="R9" s="194"/>
      <c r="S9" s="195"/>
      <c r="T9" s="154"/>
      <c r="U9" s="154"/>
      <c r="V9" s="154"/>
      <c r="W9" s="154"/>
    </row>
    <row r="10" spans="1:23" s="148" customFormat="1" ht="14.25" customHeight="1" x14ac:dyDescent="0.2">
      <c r="A10" s="1529" t="s">
        <v>133</v>
      </c>
      <c r="B10" s="1530"/>
      <c r="C10" s="1531"/>
      <c r="D10" s="464"/>
      <c r="E10" s="852"/>
      <c r="F10" s="464"/>
      <c r="G10" s="466"/>
      <c r="H10" s="856"/>
      <c r="I10" s="857"/>
      <c r="J10" s="468"/>
      <c r="K10" s="460"/>
      <c r="L10" s="858"/>
      <c r="M10" s="859"/>
      <c r="N10" s="860"/>
      <c r="P10" s="194"/>
      <c r="Q10" s="198"/>
      <c r="R10" s="194"/>
      <c r="S10" s="194"/>
      <c r="T10" s="198"/>
      <c r="U10" s="198"/>
      <c r="V10" s="198"/>
      <c r="W10" s="198"/>
    </row>
    <row r="11" spans="1:23" s="148" customFormat="1" ht="29.25" customHeight="1" x14ac:dyDescent="0.2">
      <c r="A11" s="442">
        <v>3112</v>
      </c>
      <c r="B11" s="1532" t="s">
        <v>199</v>
      </c>
      <c r="C11" s="1533"/>
      <c r="D11" s="443">
        <v>2131</v>
      </c>
      <c r="E11" s="444">
        <v>2349.63</v>
      </c>
      <c r="F11" s="443">
        <v>2169</v>
      </c>
      <c r="G11" s="445">
        <v>2126</v>
      </c>
      <c r="H11" s="446">
        <v>1577</v>
      </c>
      <c r="I11" s="447">
        <v>2069</v>
      </c>
      <c r="J11" s="447">
        <v>158</v>
      </c>
      <c r="K11" s="448">
        <v>0</v>
      </c>
      <c r="L11" s="449">
        <f t="shared" ref="L11:L58" si="1">SUM(I11:K11)</f>
        <v>2227</v>
      </c>
      <c r="M11" s="450">
        <f t="shared" ref="M11:M60" si="2">L11/F11*100</f>
        <v>102.67404333794374</v>
      </c>
      <c r="N11" s="451">
        <f t="shared" ref="N11:N60" si="3">L11/G11*100</f>
        <v>104.75070555032926</v>
      </c>
      <c r="P11" s="155"/>
      <c r="Q11" s="194"/>
      <c r="R11" s="194"/>
      <c r="S11" s="198"/>
      <c r="T11" s="198"/>
      <c r="U11" s="198"/>
      <c r="V11" s="198"/>
      <c r="W11" s="198"/>
    </row>
    <row r="12" spans="1:23" s="148" customFormat="1" ht="29.25" customHeight="1" x14ac:dyDescent="0.2">
      <c r="A12" s="442">
        <v>3114</v>
      </c>
      <c r="B12" s="1532" t="s">
        <v>200</v>
      </c>
      <c r="C12" s="1533"/>
      <c r="D12" s="443">
        <v>38451</v>
      </c>
      <c r="E12" s="444">
        <v>44374.47</v>
      </c>
      <c r="F12" s="443">
        <v>39156</v>
      </c>
      <c r="G12" s="445">
        <v>41477.57</v>
      </c>
      <c r="H12" s="446">
        <v>30610.02</v>
      </c>
      <c r="I12" s="447">
        <v>39274</v>
      </c>
      <c r="J12" s="447">
        <v>3002</v>
      </c>
      <c r="K12" s="448">
        <v>0</v>
      </c>
      <c r="L12" s="449">
        <f t="shared" si="1"/>
        <v>42276</v>
      </c>
      <c r="M12" s="450">
        <f t="shared" si="2"/>
        <v>107.96812749003983</v>
      </c>
      <c r="N12" s="451">
        <f t="shared" si="3"/>
        <v>101.92496812132437</v>
      </c>
      <c r="P12" s="155"/>
      <c r="Q12" s="194"/>
      <c r="R12" s="194"/>
      <c r="S12" s="198"/>
      <c r="T12" s="198"/>
      <c r="U12" s="198"/>
      <c r="V12" s="198"/>
      <c r="W12" s="198"/>
    </row>
    <row r="13" spans="1:23" s="148" customFormat="1" ht="15" customHeight="1" x14ac:dyDescent="0.2">
      <c r="A13" s="442">
        <v>3121</v>
      </c>
      <c r="B13" s="1532" t="s">
        <v>180</v>
      </c>
      <c r="C13" s="1533"/>
      <c r="D13" s="443">
        <v>70141</v>
      </c>
      <c r="E13" s="444">
        <v>84758.45</v>
      </c>
      <c r="F13" s="443">
        <v>71429</v>
      </c>
      <c r="G13" s="445">
        <v>77005.929999999993</v>
      </c>
      <c r="H13" s="446">
        <v>56455.199999999997</v>
      </c>
      <c r="I13" s="447">
        <v>70948</v>
      </c>
      <c r="J13" s="447">
        <v>5422</v>
      </c>
      <c r="K13" s="448">
        <v>0</v>
      </c>
      <c r="L13" s="449">
        <f t="shared" si="1"/>
        <v>76370</v>
      </c>
      <c r="M13" s="450">
        <f t="shared" si="2"/>
        <v>106.91735849584903</v>
      </c>
      <c r="N13" s="451">
        <f t="shared" si="3"/>
        <v>99.174180481944703</v>
      </c>
      <c r="P13" s="155"/>
      <c r="Q13" s="194"/>
      <c r="R13" s="194"/>
      <c r="S13" s="198"/>
      <c r="T13" s="198"/>
      <c r="U13" s="198"/>
      <c r="V13" s="198"/>
      <c r="W13" s="198"/>
    </row>
    <row r="14" spans="1:23" s="148" customFormat="1" ht="15" customHeight="1" x14ac:dyDescent="0.2">
      <c r="A14" s="442">
        <v>3122</v>
      </c>
      <c r="B14" s="1532" t="s">
        <v>181</v>
      </c>
      <c r="C14" s="1533"/>
      <c r="D14" s="443">
        <v>135162</v>
      </c>
      <c r="E14" s="444">
        <v>146954.56</v>
      </c>
      <c r="F14" s="443">
        <v>137640</v>
      </c>
      <c r="G14" s="445">
        <v>133707.70000000001</v>
      </c>
      <c r="H14" s="446">
        <v>99474.46</v>
      </c>
      <c r="I14" s="447">
        <v>126401</v>
      </c>
      <c r="J14" s="447">
        <v>9660</v>
      </c>
      <c r="K14" s="448">
        <v>0</v>
      </c>
      <c r="L14" s="449">
        <f t="shared" si="1"/>
        <v>136061</v>
      </c>
      <c r="M14" s="450">
        <f t="shared" si="2"/>
        <v>98.852804417320556</v>
      </c>
      <c r="N14" s="451">
        <f t="shared" si="3"/>
        <v>101.76003326659571</v>
      </c>
      <c r="P14" s="155"/>
      <c r="Q14" s="194"/>
      <c r="R14" s="194"/>
      <c r="S14" s="198"/>
      <c r="T14" s="198"/>
      <c r="U14" s="198"/>
      <c r="V14" s="198"/>
      <c r="W14" s="198"/>
    </row>
    <row r="15" spans="1:23" s="148" customFormat="1" ht="29.25" customHeight="1" x14ac:dyDescent="0.2">
      <c r="A15" s="442">
        <v>3123</v>
      </c>
      <c r="B15" s="1532" t="s">
        <v>201</v>
      </c>
      <c r="C15" s="1533"/>
      <c r="D15" s="443">
        <v>172359</v>
      </c>
      <c r="E15" s="444">
        <v>180393.24</v>
      </c>
      <c r="F15" s="443">
        <v>175519</v>
      </c>
      <c r="G15" s="445">
        <v>163316.81</v>
      </c>
      <c r="H15" s="446">
        <v>122147.2</v>
      </c>
      <c r="I15" s="447">
        <v>156202</v>
      </c>
      <c r="J15" s="447">
        <v>11938</v>
      </c>
      <c r="K15" s="448">
        <v>0</v>
      </c>
      <c r="L15" s="449">
        <f t="shared" si="1"/>
        <v>168140</v>
      </c>
      <c r="M15" s="450">
        <f t="shared" si="2"/>
        <v>95.79589674052383</v>
      </c>
      <c r="N15" s="451">
        <f t="shared" si="3"/>
        <v>102.95327223205008</v>
      </c>
      <c r="P15" s="155"/>
      <c r="Q15" s="194"/>
      <c r="R15" s="194"/>
      <c r="S15" s="198"/>
      <c r="T15" s="198"/>
      <c r="U15" s="198"/>
      <c r="V15" s="198"/>
      <c r="W15" s="198"/>
    </row>
    <row r="16" spans="1:23" s="148" customFormat="1" ht="15" customHeight="1" x14ac:dyDescent="0.2">
      <c r="A16" s="442">
        <v>3125</v>
      </c>
      <c r="B16" s="1532" t="s">
        <v>485</v>
      </c>
      <c r="C16" s="1533"/>
      <c r="D16" s="443">
        <v>7230</v>
      </c>
      <c r="E16" s="444">
        <v>13036.4</v>
      </c>
      <c r="F16" s="443">
        <v>7361</v>
      </c>
      <c r="G16" s="445">
        <v>7649.44</v>
      </c>
      <c r="H16" s="446">
        <v>6735.5</v>
      </c>
      <c r="I16" s="447">
        <v>6656</v>
      </c>
      <c r="J16" s="447">
        <v>509</v>
      </c>
      <c r="K16" s="448">
        <v>0</v>
      </c>
      <c r="L16" s="449">
        <f t="shared" si="1"/>
        <v>7165</v>
      </c>
      <c r="M16" s="450">
        <f t="shared" si="2"/>
        <v>97.337318299144144</v>
      </c>
      <c r="N16" s="451">
        <f t="shared" si="3"/>
        <v>93.66698738731202</v>
      </c>
      <c r="P16" s="155"/>
      <c r="Q16" s="194"/>
      <c r="R16" s="194"/>
      <c r="S16" s="198"/>
      <c r="T16" s="198"/>
      <c r="U16" s="198"/>
      <c r="V16" s="198"/>
      <c r="W16" s="198"/>
    </row>
    <row r="17" spans="1:23" s="148" customFormat="1" ht="15" customHeight="1" x14ac:dyDescent="0.2">
      <c r="A17" s="442">
        <v>3133</v>
      </c>
      <c r="B17" s="1532" t="s">
        <v>182</v>
      </c>
      <c r="C17" s="1533"/>
      <c r="D17" s="443">
        <v>25720</v>
      </c>
      <c r="E17" s="444">
        <v>27297.71</v>
      </c>
      <c r="F17" s="443">
        <v>26192</v>
      </c>
      <c r="G17" s="445">
        <v>27559.24</v>
      </c>
      <c r="H17" s="446">
        <v>20207.400000000001</v>
      </c>
      <c r="I17" s="447">
        <v>26080</v>
      </c>
      <c r="J17" s="447">
        <v>1993</v>
      </c>
      <c r="K17" s="448">
        <v>0</v>
      </c>
      <c r="L17" s="449">
        <f t="shared" si="1"/>
        <v>28073</v>
      </c>
      <c r="M17" s="450">
        <f t="shared" si="2"/>
        <v>107.18158216249236</v>
      </c>
      <c r="N17" s="451">
        <f t="shared" si="3"/>
        <v>101.86420235100822</v>
      </c>
      <c r="P17" s="155"/>
      <c r="Q17" s="194"/>
      <c r="R17" s="194"/>
      <c r="S17" s="198"/>
      <c r="T17" s="198"/>
      <c r="U17" s="198"/>
      <c r="V17" s="198"/>
      <c r="W17" s="198"/>
    </row>
    <row r="18" spans="1:23" s="148" customFormat="1" ht="15" customHeight="1" x14ac:dyDescent="0.2">
      <c r="A18" s="442">
        <v>3146</v>
      </c>
      <c r="B18" s="1532" t="s">
        <v>202</v>
      </c>
      <c r="C18" s="1533"/>
      <c r="D18" s="443">
        <v>5154</v>
      </c>
      <c r="E18" s="444">
        <v>5307.18</v>
      </c>
      <c r="F18" s="443">
        <v>5248</v>
      </c>
      <c r="G18" s="445">
        <v>5010</v>
      </c>
      <c r="H18" s="446">
        <v>3731.3</v>
      </c>
      <c r="I18" s="447">
        <v>4603</v>
      </c>
      <c r="J18" s="447">
        <v>352</v>
      </c>
      <c r="K18" s="448">
        <v>0</v>
      </c>
      <c r="L18" s="449">
        <f t="shared" si="1"/>
        <v>4955</v>
      </c>
      <c r="M18" s="450">
        <f t="shared" si="2"/>
        <v>94.416920731707322</v>
      </c>
      <c r="N18" s="451">
        <f t="shared" si="3"/>
        <v>98.902195608782435</v>
      </c>
      <c r="P18" s="155"/>
      <c r="Q18" s="194"/>
      <c r="R18" s="194"/>
      <c r="S18" s="198"/>
      <c r="T18" s="198"/>
      <c r="U18" s="198"/>
      <c r="V18" s="198"/>
      <c r="W18" s="198"/>
    </row>
    <row r="19" spans="1:23" s="148" customFormat="1" ht="15" customHeight="1" x14ac:dyDescent="0.2">
      <c r="A19" s="442">
        <v>3231</v>
      </c>
      <c r="B19" s="1532" t="s">
        <v>203</v>
      </c>
      <c r="C19" s="1533"/>
      <c r="D19" s="443">
        <v>600</v>
      </c>
      <c r="E19" s="444">
        <v>1336.19</v>
      </c>
      <c r="F19" s="443">
        <v>610</v>
      </c>
      <c r="G19" s="445">
        <v>779</v>
      </c>
      <c r="H19" s="446">
        <v>643.29999999999995</v>
      </c>
      <c r="I19" s="447">
        <v>533</v>
      </c>
      <c r="J19" s="447">
        <v>41</v>
      </c>
      <c r="K19" s="448">
        <v>0</v>
      </c>
      <c r="L19" s="449">
        <f t="shared" si="1"/>
        <v>574</v>
      </c>
      <c r="M19" s="450">
        <f t="shared" si="2"/>
        <v>94.098360655737707</v>
      </c>
      <c r="N19" s="451">
        <f t="shared" si="3"/>
        <v>73.68421052631578</v>
      </c>
      <c r="P19" s="155"/>
      <c r="Q19" s="194"/>
      <c r="R19" s="194"/>
      <c r="S19" s="198"/>
      <c r="T19" s="198"/>
      <c r="U19" s="198"/>
      <c r="V19" s="198"/>
      <c r="W19" s="198"/>
    </row>
    <row r="20" spans="1:23" s="148" customFormat="1" ht="29.25" customHeight="1" x14ac:dyDescent="0.2">
      <c r="A20" s="452">
        <v>3269</v>
      </c>
      <c r="B20" s="1532" t="s">
        <v>204</v>
      </c>
      <c r="C20" s="1533"/>
      <c r="D20" s="443">
        <v>6402</v>
      </c>
      <c r="E20" s="444">
        <v>0</v>
      </c>
      <c r="F20" s="443">
        <v>2278</v>
      </c>
      <c r="G20" s="445">
        <v>10553.09</v>
      </c>
      <c r="H20" s="446">
        <v>338.97</v>
      </c>
      <c r="I20" s="453">
        <v>42132</v>
      </c>
      <c r="J20" s="447">
        <v>8774</v>
      </c>
      <c r="K20" s="448">
        <v>0</v>
      </c>
      <c r="L20" s="449">
        <f t="shared" si="1"/>
        <v>50906</v>
      </c>
      <c r="M20" s="450">
        <f t="shared" si="2"/>
        <v>2234.679543459175</v>
      </c>
      <c r="N20" s="451">
        <f t="shared" si="3"/>
        <v>482.38004224355143</v>
      </c>
      <c r="P20" s="155"/>
      <c r="Q20" s="194"/>
      <c r="R20" s="194"/>
      <c r="S20" s="198"/>
      <c r="T20" s="198"/>
      <c r="U20" s="198"/>
      <c r="V20" s="198"/>
      <c r="W20" s="198"/>
    </row>
    <row r="21" spans="1:23" s="148" customFormat="1" ht="29.25" customHeight="1" x14ac:dyDescent="0.2">
      <c r="A21" s="452" t="s">
        <v>205</v>
      </c>
      <c r="B21" s="1532" t="s">
        <v>206</v>
      </c>
      <c r="C21" s="1533"/>
      <c r="D21" s="443">
        <v>3501</v>
      </c>
      <c r="E21" s="444">
        <v>4199.6099999999997</v>
      </c>
      <c r="F21" s="443">
        <v>3869</v>
      </c>
      <c r="G21" s="445">
        <v>4116</v>
      </c>
      <c r="H21" s="446">
        <v>2948.3</v>
      </c>
      <c r="I21" s="447">
        <v>3727</v>
      </c>
      <c r="J21" s="447">
        <v>285</v>
      </c>
      <c r="K21" s="448">
        <v>0</v>
      </c>
      <c r="L21" s="449">
        <f t="shared" si="1"/>
        <v>4012</v>
      </c>
      <c r="M21" s="450">
        <f t="shared" si="2"/>
        <v>103.69604548979063</v>
      </c>
      <c r="N21" s="451">
        <f t="shared" si="3"/>
        <v>97.473275024295432</v>
      </c>
      <c r="P21" s="155"/>
      <c r="Q21" s="194"/>
      <c r="R21" s="194"/>
      <c r="S21" s="198"/>
      <c r="T21" s="198"/>
      <c r="U21" s="198"/>
      <c r="V21" s="198"/>
      <c r="W21" s="198"/>
    </row>
    <row r="22" spans="1:23" s="148" customFormat="1" ht="15" customHeight="1" x14ac:dyDescent="0.2">
      <c r="A22" s="452">
        <v>3421</v>
      </c>
      <c r="B22" s="1532" t="s">
        <v>207</v>
      </c>
      <c r="C22" s="1533"/>
      <c r="D22" s="443">
        <v>5837</v>
      </c>
      <c r="E22" s="444">
        <v>8207.41</v>
      </c>
      <c r="F22" s="443">
        <v>5944</v>
      </c>
      <c r="G22" s="445">
        <v>5934.95</v>
      </c>
      <c r="H22" s="446">
        <v>4411.1000000000004</v>
      </c>
      <c r="I22" s="447">
        <v>5254</v>
      </c>
      <c r="J22" s="447">
        <v>402</v>
      </c>
      <c r="K22" s="448">
        <v>0</v>
      </c>
      <c r="L22" s="449">
        <f t="shared" si="1"/>
        <v>5656</v>
      </c>
      <c r="M22" s="450">
        <f t="shared" si="2"/>
        <v>95.154777927321661</v>
      </c>
      <c r="N22" s="451">
        <f t="shared" si="3"/>
        <v>95.299876157339156</v>
      </c>
      <c r="P22" s="155"/>
      <c r="Q22" s="194"/>
      <c r="R22" s="194"/>
      <c r="S22" s="194"/>
      <c r="T22" s="194"/>
      <c r="U22" s="198"/>
      <c r="V22" s="198"/>
      <c r="W22" s="198"/>
    </row>
    <row r="23" spans="1:23" s="206" customFormat="1" ht="15" customHeight="1" x14ac:dyDescent="0.2">
      <c r="A23" s="1521" t="s">
        <v>133</v>
      </c>
      <c r="B23" s="1226" t="s">
        <v>208</v>
      </c>
      <c r="C23" s="1227"/>
      <c r="D23" s="199">
        <v>437688</v>
      </c>
      <c r="E23" s="200">
        <v>482688</v>
      </c>
      <c r="F23" s="199">
        <v>441415</v>
      </c>
      <c r="G23" s="201">
        <v>443235.73000000004</v>
      </c>
      <c r="H23" s="202">
        <v>322279.74999999994</v>
      </c>
      <c r="I23" s="203">
        <v>482415</v>
      </c>
      <c r="J23" s="203">
        <v>8000</v>
      </c>
      <c r="K23" s="204">
        <v>0</v>
      </c>
      <c r="L23" s="257">
        <f t="shared" si="1"/>
        <v>490415</v>
      </c>
      <c r="M23" s="835">
        <f t="shared" ref="M23" si="4">L23/F23*100</f>
        <v>111.10066490717352</v>
      </c>
      <c r="N23" s="836" t="s">
        <v>71</v>
      </c>
      <c r="O23" s="205"/>
      <c r="P23" s="212"/>
      <c r="Q23" s="205"/>
      <c r="R23" s="205"/>
      <c r="S23" s="205"/>
      <c r="T23" s="205"/>
      <c r="U23" s="205"/>
      <c r="V23" s="205"/>
      <c r="W23" s="205"/>
    </row>
    <row r="24" spans="1:23" s="206" customFormat="1" ht="15" customHeight="1" x14ac:dyDescent="0.2">
      <c r="A24" s="1522"/>
      <c r="B24" s="1226" t="s">
        <v>209</v>
      </c>
      <c r="C24" s="1227"/>
      <c r="D24" s="1228">
        <v>0</v>
      </c>
      <c r="E24" s="1229">
        <v>0</v>
      </c>
      <c r="F24" s="1228">
        <v>0</v>
      </c>
      <c r="G24" s="1230">
        <v>0</v>
      </c>
      <c r="H24" s="1231">
        <v>0</v>
      </c>
      <c r="I24" s="208">
        <v>0</v>
      </c>
      <c r="J24" s="208">
        <v>0</v>
      </c>
      <c r="K24" s="209">
        <v>0</v>
      </c>
      <c r="L24" s="258">
        <f t="shared" si="1"/>
        <v>0</v>
      </c>
      <c r="M24" s="835" t="s">
        <v>71</v>
      </c>
      <c r="N24" s="836" t="s">
        <v>71</v>
      </c>
      <c r="O24" s="205"/>
      <c r="P24" s="212"/>
      <c r="Q24" s="205"/>
      <c r="R24" s="205"/>
      <c r="S24" s="205"/>
      <c r="T24" s="205"/>
      <c r="U24" s="205"/>
      <c r="V24" s="205"/>
      <c r="W24" s="205"/>
    </row>
    <row r="25" spans="1:23" s="206" customFormat="1" ht="15" customHeight="1" thickBot="1" x14ac:dyDescent="0.25">
      <c r="A25" s="1523"/>
      <c r="B25" s="1232" t="s">
        <v>210</v>
      </c>
      <c r="C25" s="1233"/>
      <c r="D25" s="1234">
        <v>35000</v>
      </c>
      <c r="E25" s="1235">
        <v>35526.85</v>
      </c>
      <c r="F25" s="1234">
        <v>36000</v>
      </c>
      <c r="G25" s="1236">
        <v>36000</v>
      </c>
      <c r="H25" s="1237">
        <v>27000</v>
      </c>
      <c r="I25" s="210">
        <v>1464</v>
      </c>
      <c r="J25" s="210">
        <v>34536</v>
      </c>
      <c r="K25" s="211"/>
      <c r="L25" s="259">
        <f>SUM(I25:K25)</f>
        <v>36000</v>
      </c>
      <c r="M25" s="833">
        <f t="shared" ref="M25" si="5">L25/F25*100</f>
        <v>100</v>
      </c>
      <c r="N25" s="834" t="s">
        <v>71</v>
      </c>
      <c r="O25" s="205"/>
      <c r="P25" s="212"/>
      <c r="Q25" s="205"/>
      <c r="R25" s="205"/>
      <c r="S25" s="205"/>
      <c r="T25" s="205"/>
      <c r="U25" s="205"/>
      <c r="V25" s="205"/>
      <c r="W25" s="205"/>
    </row>
    <row r="26" spans="1:23" s="148" customFormat="1" ht="15" customHeight="1" x14ac:dyDescent="0.2">
      <c r="A26" s="1524" t="s">
        <v>211</v>
      </c>
      <c r="B26" s="1525"/>
      <c r="C26" s="1526"/>
      <c r="D26" s="454">
        <f t="shared" ref="D26:L26" si="6">SUM(D28:D37)</f>
        <v>33000</v>
      </c>
      <c r="E26" s="455">
        <f t="shared" si="6"/>
        <v>37733.890000000007</v>
      </c>
      <c r="F26" s="454">
        <f t="shared" si="6"/>
        <v>35000</v>
      </c>
      <c r="G26" s="456">
        <f t="shared" si="6"/>
        <v>35262.18</v>
      </c>
      <c r="H26" s="457">
        <f t="shared" si="6"/>
        <v>24813.739999999998</v>
      </c>
      <c r="I26" s="458">
        <f t="shared" si="6"/>
        <v>35000</v>
      </c>
      <c r="J26" s="1359">
        <f t="shared" si="6"/>
        <v>0</v>
      </c>
      <c r="K26" s="1360">
        <f t="shared" si="6"/>
        <v>0</v>
      </c>
      <c r="L26" s="461">
        <f t="shared" si="6"/>
        <v>35000</v>
      </c>
      <c r="M26" s="462">
        <f t="shared" si="2"/>
        <v>100</v>
      </c>
      <c r="N26" s="463">
        <f t="shared" si="3"/>
        <v>99.256483858910599</v>
      </c>
      <c r="O26" s="198"/>
      <c r="P26" s="198"/>
      <c r="Q26" s="198"/>
      <c r="R26" s="198"/>
      <c r="S26" s="198"/>
      <c r="T26" s="198"/>
      <c r="U26" s="198"/>
      <c r="V26" s="198"/>
      <c r="W26" s="198"/>
    </row>
    <row r="27" spans="1:23" s="872" customFormat="1" ht="15" customHeight="1" x14ac:dyDescent="0.2">
      <c r="A27" s="1529" t="s">
        <v>133</v>
      </c>
      <c r="B27" s="1530"/>
      <c r="C27" s="1531"/>
      <c r="D27" s="861"/>
      <c r="E27" s="862"/>
      <c r="F27" s="861"/>
      <c r="G27" s="863"/>
      <c r="H27" s="864"/>
      <c r="I27" s="865"/>
      <c r="J27" s="866"/>
      <c r="K27" s="867"/>
      <c r="L27" s="868"/>
      <c r="M27" s="869"/>
      <c r="N27" s="870"/>
      <c r="O27" s="871"/>
      <c r="P27" s="871"/>
      <c r="Q27" s="871"/>
      <c r="R27" s="871"/>
      <c r="S27" s="871"/>
      <c r="T27" s="871"/>
      <c r="U27" s="871"/>
      <c r="V27" s="871"/>
      <c r="W27" s="871"/>
    </row>
    <row r="28" spans="1:23" s="148" customFormat="1" ht="29.25" customHeight="1" x14ac:dyDescent="0.2">
      <c r="A28" s="452">
        <v>3112</v>
      </c>
      <c r="B28" s="1532" t="s">
        <v>199</v>
      </c>
      <c r="C28" s="1533"/>
      <c r="D28" s="464">
        <v>242</v>
      </c>
      <c r="E28" s="465">
        <v>238.17</v>
      </c>
      <c r="F28" s="464">
        <v>258</v>
      </c>
      <c r="G28" s="466">
        <v>238.17</v>
      </c>
      <c r="H28" s="467">
        <v>178.6</v>
      </c>
      <c r="I28" s="468">
        <v>246</v>
      </c>
      <c r="J28" s="459">
        <v>0</v>
      </c>
      <c r="K28" s="469">
        <v>0</v>
      </c>
      <c r="L28" s="373">
        <f t="shared" si="1"/>
        <v>246</v>
      </c>
      <c r="M28" s="450">
        <f t="shared" si="2"/>
        <v>95.348837209302332</v>
      </c>
      <c r="N28" s="451">
        <f t="shared" si="3"/>
        <v>103.28756770374103</v>
      </c>
      <c r="O28" s="198"/>
      <c r="P28" s="213"/>
      <c r="Q28" s="198"/>
      <c r="R28" s="198"/>
      <c r="S28" s="198"/>
      <c r="T28" s="198"/>
      <c r="U28" s="198"/>
      <c r="V28" s="198"/>
      <c r="W28" s="198"/>
    </row>
    <row r="29" spans="1:23" s="148" customFormat="1" ht="29.25" customHeight="1" x14ac:dyDescent="0.2">
      <c r="A29" s="452">
        <v>3114</v>
      </c>
      <c r="B29" s="1532" t="s">
        <v>200</v>
      </c>
      <c r="C29" s="1533"/>
      <c r="D29" s="464">
        <v>3570</v>
      </c>
      <c r="E29" s="465">
        <v>3703.21</v>
      </c>
      <c r="F29" s="464">
        <v>3786</v>
      </c>
      <c r="G29" s="466">
        <v>3722.49</v>
      </c>
      <c r="H29" s="467">
        <v>2842.24</v>
      </c>
      <c r="I29" s="468">
        <v>3835</v>
      </c>
      <c r="J29" s="459">
        <v>0</v>
      </c>
      <c r="K29" s="469">
        <v>0</v>
      </c>
      <c r="L29" s="373">
        <f t="shared" si="1"/>
        <v>3835</v>
      </c>
      <c r="M29" s="450">
        <f t="shared" si="2"/>
        <v>101.29424194400423</v>
      </c>
      <c r="N29" s="451">
        <f t="shared" si="3"/>
        <v>103.0224392812338</v>
      </c>
      <c r="O29" s="198"/>
      <c r="P29" s="213"/>
      <c r="Q29" s="198"/>
      <c r="R29" s="198"/>
      <c r="S29" s="198"/>
      <c r="T29" s="198"/>
      <c r="U29" s="198"/>
      <c r="V29" s="198"/>
      <c r="W29" s="198"/>
    </row>
    <row r="30" spans="1:23" s="148" customFormat="1" ht="15" customHeight="1" x14ac:dyDescent="0.2">
      <c r="A30" s="452">
        <v>3121</v>
      </c>
      <c r="B30" s="1532" t="s">
        <v>180</v>
      </c>
      <c r="C30" s="1533"/>
      <c r="D30" s="464">
        <v>9661</v>
      </c>
      <c r="E30" s="465">
        <v>9954.61</v>
      </c>
      <c r="F30" s="464">
        <v>10242</v>
      </c>
      <c r="G30" s="466">
        <v>10005.26</v>
      </c>
      <c r="H30" s="467">
        <v>7500.6</v>
      </c>
      <c r="I30" s="468">
        <v>10306</v>
      </c>
      <c r="J30" s="459">
        <v>0</v>
      </c>
      <c r="K30" s="469">
        <v>0</v>
      </c>
      <c r="L30" s="373">
        <f t="shared" si="1"/>
        <v>10306</v>
      </c>
      <c r="M30" s="450">
        <f t="shared" si="2"/>
        <v>100.6248779535247</v>
      </c>
      <c r="N30" s="451">
        <f t="shared" si="3"/>
        <v>103.00581893923794</v>
      </c>
      <c r="O30" s="198"/>
      <c r="P30" s="213"/>
      <c r="Q30" s="198"/>
      <c r="R30" s="198"/>
      <c r="S30" s="198"/>
      <c r="T30" s="198"/>
      <c r="U30" s="198"/>
      <c r="V30" s="198"/>
      <c r="W30" s="198"/>
    </row>
    <row r="31" spans="1:23" s="148" customFormat="1" ht="15" customHeight="1" x14ac:dyDescent="0.2">
      <c r="A31" s="452">
        <v>3122</v>
      </c>
      <c r="B31" s="1532" t="s">
        <v>181</v>
      </c>
      <c r="C31" s="1533"/>
      <c r="D31" s="464">
        <v>7040</v>
      </c>
      <c r="E31" s="465">
        <v>9678.9</v>
      </c>
      <c r="F31" s="464">
        <v>7464</v>
      </c>
      <c r="G31" s="466">
        <v>5282.9</v>
      </c>
      <c r="H31" s="467">
        <v>3932.3</v>
      </c>
      <c r="I31" s="468">
        <v>5441</v>
      </c>
      <c r="J31" s="459">
        <v>0</v>
      </c>
      <c r="K31" s="469">
        <v>0</v>
      </c>
      <c r="L31" s="373">
        <f t="shared" si="1"/>
        <v>5441</v>
      </c>
      <c r="M31" s="450">
        <f t="shared" si="2"/>
        <v>72.89657020364416</v>
      </c>
      <c r="N31" s="451">
        <f t="shared" si="3"/>
        <v>102.99267447803291</v>
      </c>
      <c r="O31" s="198"/>
      <c r="P31" s="213"/>
      <c r="Q31" s="198"/>
      <c r="R31" s="198"/>
      <c r="S31" s="198"/>
      <c r="T31" s="198"/>
      <c r="U31" s="198"/>
      <c r="V31" s="198"/>
      <c r="W31" s="198"/>
    </row>
    <row r="32" spans="1:23" s="148" customFormat="1" ht="29.25" customHeight="1" x14ac:dyDescent="0.2">
      <c r="A32" s="452">
        <v>3123</v>
      </c>
      <c r="B32" s="1532" t="s">
        <v>201</v>
      </c>
      <c r="C32" s="1533"/>
      <c r="D32" s="464">
        <v>9508</v>
      </c>
      <c r="E32" s="465">
        <v>8954.33</v>
      </c>
      <c r="F32" s="464">
        <v>10080</v>
      </c>
      <c r="G32" s="466">
        <v>8775.93</v>
      </c>
      <c r="H32" s="467">
        <v>6508.9</v>
      </c>
      <c r="I32" s="468">
        <v>9039</v>
      </c>
      <c r="J32" s="459">
        <v>0</v>
      </c>
      <c r="K32" s="469">
        <v>0</v>
      </c>
      <c r="L32" s="373">
        <f t="shared" si="1"/>
        <v>9039</v>
      </c>
      <c r="M32" s="450">
        <f t="shared" si="2"/>
        <v>89.672619047619051</v>
      </c>
      <c r="N32" s="451">
        <f t="shared" si="3"/>
        <v>102.99763102030212</v>
      </c>
      <c r="O32" s="198"/>
      <c r="P32" s="213"/>
      <c r="Q32" s="198"/>
      <c r="R32" s="198"/>
      <c r="S32" s="198"/>
      <c r="T32" s="198"/>
      <c r="U32" s="198"/>
      <c r="V32" s="198"/>
      <c r="W32" s="198"/>
    </row>
    <row r="33" spans="1:23" s="148" customFormat="1" ht="15" customHeight="1" x14ac:dyDescent="0.2">
      <c r="A33" s="452">
        <v>3146</v>
      </c>
      <c r="B33" s="1532" t="s">
        <v>202</v>
      </c>
      <c r="C33" s="1533"/>
      <c r="D33" s="464">
        <v>619</v>
      </c>
      <c r="E33" s="465">
        <v>836.92</v>
      </c>
      <c r="F33" s="464">
        <v>658</v>
      </c>
      <c r="G33" s="466">
        <v>823.18</v>
      </c>
      <c r="H33" s="467">
        <v>618.5</v>
      </c>
      <c r="I33" s="468">
        <v>849</v>
      </c>
      <c r="J33" s="459">
        <v>0</v>
      </c>
      <c r="K33" s="469">
        <v>0</v>
      </c>
      <c r="L33" s="373">
        <f t="shared" si="1"/>
        <v>849</v>
      </c>
      <c r="M33" s="450">
        <f t="shared" si="2"/>
        <v>129.02735562310031</v>
      </c>
      <c r="N33" s="451">
        <f t="shared" si="3"/>
        <v>103.13661653587309</v>
      </c>
      <c r="O33" s="198"/>
      <c r="P33" s="213"/>
      <c r="Q33" s="198"/>
      <c r="R33" s="198"/>
      <c r="S33" s="198"/>
      <c r="T33" s="198"/>
      <c r="U33" s="198"/>
      <c r="V33" s="198"/>
      <c r="W33" s="198"/>
    </row>
    <row r="34" spans="1:23" s="148" customFormat="1" ht="15" customHeight="1" x14ac:dyDescent="0.2">
      <c r="A34" s="452">
        <v>3231</v>
      </c>
      <c r="B34" s="1532" t="s">
        <v>203</v>
      </c>
      <c r="C34" s="1533"/>
      <c r="D34" s="464">
        <v>1556</v>
      </c>
      <c r="E34" s="465">
        <v>3400.73</v>
      </c>
      <c r="F34" s="464">
        <v>1651</v>
      </c>
      <c r="G34" s="466">
        <v>3424.39</v>
      </c>
      <c r="H34" s="467">
        <v>2478.8000000000002</v>
      </c>
      <c r="I34" s="468">
        <v>3528</v>
      </c>
      <c r="J34" s="459">
        <v>0</v>
      </c>
      <c r="K34" s="469">
        <v>0</v>
      </c>
      <c r="L34" s="373">
        <f t="shared" si="1"/>
        <v>3528</v>
      </c>
      <c r="M34" s="450">
        <f t="shared" si="2"/>
        <v>213.68867353119322</v>
      </c>
      <c r="N34" s="451">
        <f t="shared" si="3"/>
        <v>103.02564836365018</v>
      </c>
      <c r="O34" s="198"/>
      <c r="P34" s="213"/>
      <c r="Q34" s="198"/>
      <c r="R34" s="198"/>
      <c r="S34" s="198"/>
      <c r="T34" s="198"/>
      <c r="U34" s="198"/>
      <c r="V34" s="198"/>
      <c r="W34" s="198"/>
    </row>
    <row r="35" spans="1:23" s="148" customFormat="1" ht="15" customHeight="1" x14ac:dyDescent="0.2">
      <c r="A35" s="452">
        <v>3269</v>
      </c>
      <c r="B35" s="1532" t="s">
        <v>204</v>
      </c>
      <c r="C35" s="1533"/>
      <c r="D35" s="464">
        <v>217</v>
      </c>
      <c r="E35" s="465">
        <v>0</v>
      </c>
      <c r="F35" s="464">
        <v>237</v>
      </c>
      <c r="G35" s="466">
        <v>1980.43</v>
      </c>
      <c r="H35" s="467">
        <v>0</v>
      </c>
      <c r="I35" s="468">
        <v>715</v>
      </c>
      <c r="J35" s="459">
        <v>0</v>
      </c>
      <c r="K35" s="469">
        <v>0</v>
      </c>
      <c r="L35" s="373">
        <f t="shared" si="1"/>
        <v>715</v>
      </c>
      <c r="M35" s="450">
        <f t="shared" si="2"/>
        <v>301.68776371308013</v>
      </c>
      <c r="N35" s="451" t="s">
        <v>71</v>
      </c>
      <c r="O35" s="198"/>
      <c r="P35" s="213"/>
      <c r="Q35" s="198"/>
      <c r="R35" s="198"/>
      <c r="S35" s="198"/>
      <c r="T35" s="198"/>
      <c r="U35" s="198"/>
      <c r="V35" s="198"/>
      <c r="W35" s="198"/>
    </row>
    <row r="36" spans="1:23" s="148" customFormat="1" ht="29.25" customHeight="1" x14ac:dyDescent="0.2">
      <c r="A36" s="452" t="s">
        <v>205</v>
      </c>
      <c r="B36" s="1532" t="s">
        <v>206</v>
      </c>
      <c r="C36" s="1533"/>
      <c r="D36" s="464">
        <v>32</v>
      </c>
      <c r="E36" s="465">
        <v>32.4</v>
      </c>
      <c r="F36" s="464">
        <v>34</v>
      </c>
      <c r="G36" s="466">
        <v>32.4</v>
      </c>
      <c r="H36" s="467">
        <v>24.3</v>
      </c>
      <c r="I36" s="468">
        <v>34</v>
      </c>
      <c r="J36" s="459">
        <v>0</v>
      </c>
      <c r="K36" s="469">
        <v>0</v>
      </c>
      <c r="L36" s="373">
        <f t="shared" si="1"/>
        <v>34</v>
      </c>
      <c r="M36" s="450">
        <f t="shared" si="2"/>
        <v>100</v>
      </c>
      <c r="N36" s="451">
        <f t="shared" si="3"/>
        <v>104.93827160493827</v>
      </c>
      <c r="O36" s="198"/>
      <c r="P36" s="213"/>
      <c r="Q36" s="198"/>
      <c r="R36" s="198"/>
      <c r="S36" s="198"/>
      <c r="T36" s="198"/>
      <c r="U36" s="198"/>
      <c r="V36" s="198"/>
      <c r="W36" s="198"/>
    </row>
    <row r="37" spans="1:23" s="148" customFormat="1" ht="15" customHeight="1" thickBot="1" x14ac:dyDescent="0.25">
      <c r="A37" s="470">
        <v>3421</v>
      </c>
      <c r="B37" s="1534" t="s">
        <v>207</v>
      </c>
      <c r="C37" s="1535"/>
      <c r="D37" s="471">
        <v>555</v>
      </c>
      <c r="E37" s="472">
        <v>934.62</v>
      </c>
      <c r="F37" s="471">
        <v>590</v>
      </c>
      <c r="G37" s="473">
        <v>977.03</v>
      </c>
      <c r="H37" s="474">
        <v>729.5</v>
      </c>
      <c r="I37" s="475">
        <v>1007</v>
      </c>
      <c r="J37" s="476">
        <v>0</v>
      </c>
      <c r="K37" s="477">
        <v>0</v>
      </c>
      <c r="L37" s="478">
        <f t="shared" si="1"/>
        <v>1007</v>
      </c>
      <c r="M37" s="479">
        <f t="shared" si="2"/>
        <v>170.67796610169492</v>
      </c>
      <c r="N37" s="480">
        <f t="shared" si="3"/>
        <v>103.06745954576625</v>
      </c>
      <c r="O37" s="198"/>
      <c r="P37" s="213"/>
      <c r="Q37" s="198"/>
      <c r="R37" s="198"/>
      <c r="S37" s="198"/>
      <c r="T37" s="198"/>
      <c r="U37" s="198"/>
      <c r="V37" s="198"/>
      <c r="W37" s="198"/>
    </row>
    <row r="38" spans="1:23" s="985" customFormat="1" ht="15" customHeight="1" x14ac:dyDescent="0.2">
      <c r="A38" s="1527" t="s">
        <v>212</v>
      </c>
      <c r="B38" s="1536" t="s">
        <v>213</v>
      </c>
      <c r="C38" s="1537"/>
      <c r="D38" s="363">
        <v>75000</v>
      </c>
      <c r="E38" s="542">
        <v>92615.35</v>
      </c>
      <c r="F38" s="363">
        <v>75000</v>
      </c>
      <c r="G38" s="518">
        <f>SUM(G39)</f>
        <v>93480.11</v>
      </c>
      <c r="H38" s="394">
        <v>36199.089999999997</v>
      </c>
      <c r="I38" s="981">
        <v>30000</v>
      </c>
      <c r="J38" s="982">
        <v>25000</v>
      </c>
      <c r="K38" s="547">
        <v>10000</v>
      </c>
      <c r="L38" s="366">
        <f t="shared" si="1"/>
        <v>65000</v>
      </c>
      <c r="M38" s="798">
        <f t="shared" si="2"/>
        <v>86.666666666666671</v>
      </c>
      <c r="N38" s="983">
        <f t="shared" si="3"/>
        <v>69.533508251113531</v>
      </c>
      <c r="O38" s="984"/>
      <c r="P38" s="984"/>
      <c r="Q38" s="984"/>
      <c r="R38" s="984"/>
      <c r="S38" s="984"/>
      <c r="T38" s="984"/>
      <c r="U38" s="984"/>
      <c r="V38" s="984"/>
      <c r="W38" s="984"/>
    </row>
    <row r="39" spans="1:23" s="995" customFormat="1" ht="15" customHeight="1" x14ac:dyDescent="0.2">
      <c r="A39" s="1528"/>
      <c r="B39" s="996" t="s">
        <v>133</v>
      </c>
      <c r="C39" s="214" t="s">
        <v>214</v>
      </c>
      <c r="D39" s="771">
        <v>75000</v>
      </c>
      <c r="E39" s="986">
        <v>92615.35</v>
      </c>
      <c r="F39" s="771">
        <v>75000</v>
      </c>
      <c r="G39" s="987">
        <v>93480.11</v>
      </c>
      <c r="H39" s="988">
        <v>36199.089999999997</v>
      </c>
      <c r="I39" s="989">
        <v>30000</v>
      </c>
      <c r="J39" s="990">
        <v>25000</v>
      </c>
      <c r="K39" s="991">
        <v>10000</v>
      </c>
      <c r="L39" s="219">
        <f t="shared" ref="L39" si="7">L38</f>
        <v>65000</v>
      </c>
      <c r="M39" s="992">
        <f t="shared" si="2"/>
        <v>86.666666666666671</v>
      </c>
      <c r="N39" s="993">
        <f t="shared" si="3"/>
        <v>69.533508251113531</v>
      </c>
      <c r="O39" s="994"/>
      <c r="P39" s="994"/>
      <c r="Q39" s="994"/>
      <c r="R39" s="994"/>
      <c r="S39" s="994"/>
      <c r="T39" s="994"/>
      <c r="U39" s="994"/>
      <c r="V39" s="994"/>
      <c r="W39" s="994"/>
    </row>
    <row r="40" spans="1:23" s="148" customFormat="1" ht="15" customHeight="1" x14ac:dyDescent="0.2">
      <c r="A40" s="483" t="s">
        <v>212</v>
      </c>
      <c r="B40" s="1519" t="s">
        <v>215</v>
      </c>
      <c r="C40" s="1520"/>
      <c r="D40" s="443">
        <v>12000</v>
      </c>
      <c r="E40" s="444">
        <v>14491.8</v>
      </c>
      <c r="F40" s="443">
        <v>14000</v>
      </c>
      <c r="G40" s="445">
        <v>14581</v>
      </c>
      <c r="H40" s="446">
        <v>11063.2</v>
      </c>
      <c r="I40" s="447">
        <v>0</v>
      </c>
      <c r="J40" s="459">
        <v>14000</v>
      </c>
      <c r="K40" s="460">
        <v>0</v>
      </c>
      <c r="L40" s="373">
        <f t="shared" si="1"/>
        <v>14000</v>
      </c>
      <c r="M40" s="450">
        <f t="shared" si="2"/>
        <v>100</v>
      </c>
      <c r="N40" s="451">
        <f t="shared" si="3"/>
        <v>96.015362457993277</v>
      </c>
      <c r="O40" s="198"/>
      <c r="P40" s="198"/>
      <c r="Q40" s="198"/>
      <c r="R40" s="198"/>
      <c r="S40" s="198"/>
      <c r="T40" s="198"/>
      <c r="U40" s="198"/>
      <c r="V40" s="198"/>
      <c r="W40" s="198"/>
    </row>
    <row r="41" spans="1:23" s="148" customFormat="1" ht="15" customHeight="1" x14ac:dyDescent="0.2">
      <c r="A41" s="483">
        <v>3419</v>
      </c>
      <c r="B41" s="1519" t="s">
        <v>216</v>
      </c>
      <c r="C41" s="1520"/>
      <c r="D41" s="443">
        <v>6200</v>
      </c>
      <c r="E41" s="444">
        <v>179.92</v>
      </c>
      <c r="F41" s="443">
        <v>0</v>
      </c>
      <c r="G41" s="445">
        <v>0</v>
      </c>
      <c r="H41" s="446">
        <v>0</v>
      </c>
      <c r="I41" s="447">
        <v>0</v>
      </c>
      <c r="J41" s="459">
        <v>0</v>
      </c>
      <c r="K41" s="460">
        <v>0</v>
      </c>
      <c r="L41" s="373">
        <f t="shared" si="1"/>
        <v>0</v>
      </c>
      <c r="M41" s="450" t="s">
        <v>71</v>
      </c>
      <c r="N41" s="451" t="s">
        <v>71</v>
      </c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148" customFormat="1" ht="15" customHeight="1" x14ac:dyDescent="0.2">
      <c r="A42" s="452" t="s">
        <v>217</v>
      </c>
      <c r="B42" s="1519" t="s">
        <v>218</v>
      </c>
      <c r="C42" s="1520"/>
      <c r="D42" s="443">
        <v>20000</v>
      </c>
      <c r="E42" s="444">
        <v>0</v>
      </c>
      <c r="F42" s="443">
        <v>0</v>
      </c>
      <c r="G42" s="445">
        <v>0</v>
      </c>
      <c r="H42" s="446">
        <v>0</v>
      </c>
      <c r="I42" s="447">
        <v>0</v>
      </c>
      <c r="J42" s="459">
        <v>0</v>
      </c>
      <c r="K42" s="460">
        <v>0</v>
      </c>
      <c r="L42" s="373">
        <f t="shared" si="1"/>
        <v>0</v>
      </c>
      <c r="M42" s="450" t="s">
        <v>71</v>
      </c>
      <c r="N42" s="451" t="s">
        <v>71</v>
      </c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148" customFormat="1" ht="15" customHeight="1" x14ac:dyDescent="0.2">
      <c r="A43" s="452" t="s">
        <v>219</v>
      </c>
      <c r="B43" s="1519" t="s">
        <v>220</v>
      </c>
      <c r="C43" s="1520"/>
      <c r="D43" s="443">
        <v>1500</v>
      </c>
      <c r="E43" s="444">
        <v>1169.54</v>
      </c>
      <c r="F43" s="443">
        <v>1500</v>
      </c>
      <c r="G43" s="445">
        <v>1739.96</v>
      </c>
      <c r="H43" s="446">
        <v>1504.51</v>
      </c>
      <c r="I43" s="453">
        <v>0</v>
      </c>
      <c r="J43" s="484">
        <v>2000</v>
      </c>
      <c r="K43" s="460">
        <v>0</v>
      </c>
      <c r="L43" s="373">
        <f t="shared" si="1"/>
        <v>2000</v>
      </c>
      <c r="M43" s="450">
        <f t="shared" si="2"/>
        <v>133.33333333333331</v>
      </c>
      <c r="N43" s="451">
        <f t="shared" si="3"/>
        <v>114.94517115335985</v>
      </c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148" customFormat="1" ht="15" customHeight="1" x14ac:dyDescent="0.2">
      <c r="A44" s="452" t="s">
        <v>221</v>
      </c>
      <c r="B44" s="1519" t="s">
        <v>222</v>
      </c>
      <c r="C44" s="1520"/>
      <c r="D44" s="443">
        <v>500</v>
      </c>
      <c r="E44" s="444">
        <v>1457.96</v>
      </c>
      <c r="F44" s="443">
        <v>1500</v>
      </c>
      <c r="G44" s="445">
        <v>1537.36</v>
      </c>
      <c r="H44" s="446">
        <v>1469.96</v>
      </c>
      <c r="I44" s="453">
        <v>0</v>
      </c>
      <c r="J44" s="484">
        <v>1500</v>
      </c>
      <c r="K44" s="460">
        <v>0</v>
      </c>
      <c r="L44" s="373">
        <f t="shared" si="1"/>
        <v>1500</v>
      </c>
      <c r="M44" s="450">
        <f t="shared" si="2"/>
        <v>100</v>
      </c>
      <c r="N44" s="451">
        <f t="shared" si="3"/>
        <v>97.569860019774168</v>
      </c>
      <c r="O44" s="198"/>
      <c r="P44" s="198"/>
      <c r="Q44" s="198"/>
      <c r="R44" s="198"/>
      <c r="S44" s="198"/>
      <c r="T44" s="198"/>
      <c r="U44" s="198"/>
      <c r="V44" s="198"/>
      <c r="W44" s="198"/>
    </row>
    <row r="45" spans="1:23" s="148" customFormat="1" ht="15" customHeight="1" x14ac:dyDescent="0.2">
      <c r="A45" s="1542" t="s">
        <v>505</v>
      </c>
      <c r="B45" s="1543"/>
      <c r="C45" s="1544"/>
      <c r="D45" s="454">
        <f>SUM(D46:D50)</f>
        <v>5500</v>
      </c>
      <c r="E45" s="455">
        <f t="shared" ref="E45:L45" si="8">SUM(E46:E50)</f>
        <v>13664.2</v>
      </c>
      <c r="F45" s="454">
        <f t="shared" si="8"/>
        <v>12800</v>
      </c>
      <c r="G45" s="456">
        <f t="shared" si="8"/>
        <v>13496.45</v>
      </c>
      <c r="H45" s="457">
        <f t="shared" si="8"/>
        <v>10802.94</v>
      </c>
      <c r="I45" s="458">
        <f t="shared" si="8"/>
        <v>13440</v>
      </c>
      <c r="J45" s="1359">
        <f t="shared" si="8"/>
        <v>0</v>
      </c>
      <c r="K45" s="1360">
        <f t="shared" si="8"/>
        <v>0</v>
      </c>
      <c r="L45" s="461">
        <f t="shared" si="8"/>
        <v>13440</v>
      </c>
      <c r="M45" s="450">
        <f t="shared" si="2"/>
        <v>105</v>
      </c>
      <c r="N45" s="451">
        <f t="shared" si="3"/>
        <v>99.581741865453495</v>
      </c>
      <c r="O45" s="198"/>
      <c r="P45" s="198"/>
      <c r="Q45" s="198"/>
      <c r="R45" s="198"/>
      <c r="S45" s="198"/>
      <c r="T45" s="198"/>
      <c r="U45" s="198"/>
      <c r="V45" s="198"/>
      <c r="W45" s="198"/>
    </row>
    <row r="46" spans="1:23" s="148" customFormat="1" ht="15" customHeight="1" x14ac:dyDescent="0.2">
      <c r="A46" s="1351" t="s">
        <v>506</v>
      </c>
      <c r="B46" s="1532" t="s">
        <v>180</v>
      </c>
      <c r="C46" s="1533"/>
      <c r="D46" s="443">
        <v>0</v>
      </c>
      <c r="E46" s="444">
        <v>193.62</v>
      </c>
      <c r="F46" s="443">
        <v>0</v>
      </c>
      <c r="G46" s="445">
        <v>65.81</v>
      </c>
      <c r="H46" s="446">
        <v>65.81</v>
      </c>
      <c r="I46" s="453">
        <v>1000</v>
      </c>
      <c r="J46" s="484">
        <v>0</v>
      </c>
      <c r="K46" s="460">
        <v>0</v>
      </c>
      <c r="L46" s="373">
        <f t="shared" si="1"/>
        <v>1000</v>
      </c>
      <c r="M46" s="450" t="s">
        <v>71</v>
      </c>
      <c r="N46" s="451">
        <f t="shared" ref="N46:N50" si="9">L46/G46*100</f>
        <v>1519.5259079167299</v>
      </c>
      <c r="O46" s="198"/>
      <c r="P46" s="198"/>
      <c r="Q46" s="198"/>
      <c r="R46" s="198"/>
      <c r="S46" s="198"/>
      <c r="T46" s="198"/>
      <c r="U46" s="198"/>
      <c r="V46" s="198"/>
      <c r="W46" s="198"/>
    </row>
    <row r="47" spans="1:23" s="148" customFormat="1" ht="15" customHeight="1" x14ac:dyDescent="0.2">
      <c r="A47" s="1351" t="s">
        <v>507</v>
      </c>
      <c r="B47" s="1532" t="s">
        <v>181</v>
      </c>
      <c r="C47" s="1533"/>
      <c r="D47" s="443">
        <v>0</v>
      </c>
      <c r="E47" s="444">
        <v>1971.05</v>
      </c>
      <c r="F47" s="443">
        <v>0</v>
      </c>
      <c r="G47" s="445">
        <v>2768.83</v>
      </c>
      <c r="H47" s="446">
        <v>2768.83</v>
      </c>
      <c r="I47" s="453">
        <v>2000</v>
      </c>
      <c r="J47" s="484">
        <v>0</v>
      </c>
      <c r="K47" s="460">
        <v>0</v>
      </c>
      <c r="L47" s="373">
        <f t="shared" si="1"/>
        <v>2000</v>
      </c>
      <c r="M47" s="450" t="s">
        <v>71</v>
      </c>
      <c r="N47" s="451">
        <f t="shared" si="9"/>
        <v>72.232675895594895</v>
      </c>
      <c r="O47" s="198"/>
      <c r="P47" s="198"/>
      <c r="Q47" s="198"/>
      <c r="R47" s="198"/>
      <c r="S47" s="198"/>
      <c r="T47" s="198"/>
      <c r="U47" s="198"/>
      <c r="V47" s="198"/>
      <c r="W47" s="198"/>
    </row>
    <row r="48" spans="1:23" s="148" customFormat="1" ht="15" customHeight="1" x14ac:dyDescent="0.2">
      <c r="A48" s="1351" t="s">
        <v>508</v>
      </c>
      <c r="B48" s="1532" t="s">
        <v>201</v>
      </c>
      <c r="C48" s="1533"/>
      <c r="D48" s="443">
        <v>0</v>
      </c>
      <c r="E48" s="444">
        <v>5999.53</v>
      </c>
      <c r="F48" s="443">
        <v>0</v>
      </c>
      <c r="G48" s="445">
        <v>2168.3000000000002</v>
      </c>
      <c r="H48" s="446">
        <v>2168.3000000000002</v>
      </c>
      <c r="I48" s="453">
        <v>3000</v>
      </c>
      <c r="J48" s="484">
        <v>0</v>
      </c>
      <c r="K48" s="460">
        <v>0</v>
      </c>
      <c r="L48" s="373">
        <f t="shared" si="1"/>
        <v>3000</v>
      </c>
      <c r="M48" s="450" t="s">
        <v>71</v>
      </c>
      <c r="N48" s="451">
        <f t="shared" si="9"/>
        <v>138.35723838952174</v>
      </c>
      <c r="O48" s="198"/>
      <c r="P48" s="198"/>
      <c r="Q48" s="198"/>
      <c r="R48" s="198"/>
      <c r="S48" s="198"/>
      <c r="T48" s="198"/>
      <c r="U48" s="198"/>
      <c r="V48" s="198"/>
      <c r="W48" s="198"/>
    </row>
    <row r="49" spans="1:23" s="148" customFormat="1" ht="15" customHeight="1" x14ac:dyDescent="0.2">
      <c r="A49" s="1351" t="s">
        <v>212</v>
      </c>
      <c r="B49" s="1532" t="s">
        <v>204</v>
      </c>
      <c r="C49" s="1533"/>
      <c r="D49" s="443">
        <v>5500</v>
      </c>
      <c r="E49" s="444">
        <v>0</v>
      </c>
      <c r="F49" s="443">
        <v>12800</v>
      </c>
      <c r="G49" s="445">
        <v>2693.51</v>
      </c>
      <c r="H49" s="446">
        <v>0</v>
      </c>
      <c r="I49" s="453">
        <v>1340</v>
      </c>
      <c r="J49" s="484">
        <v>0</v>
      </c>
      <c r="K49" s="460">
        <v>0</v>
      </c>
      <c r="L49" s="373">
        <f t="shared" si="1"/>
        <v>1340</v>
      </c>
      <c r="M49" s="450">
        <f t="shared" ref="M49" si="10">L49/F49*100</f>
        <v>10.46875</v>
      </c>
      <c r="N49" s="451">
        <f t="shared" si="9"/>
        <v>49.749211994757765</v>
      </c>
      <c r="O49" s="198"/>
      <c r="P49" s="198"/>
      <c r="Q49" s="198"/>
      <c r="R49" s="198"/>
      <c r="S49" s="198"/>
      <c r="T49" s="198"/>
      <c r="U49" s="198"/>
      <c r="V49" s="198"/>
      <c r="W49" s="198"/>
    </row>
    <row r="50" spans="1:23" s="148" customFormat="1" ht="15" customHeight="1" x14ac:dyDescent="0.2">
      <c r="A50" s="1351" t="s">
        <v>205</v>
      </c>
      <c r="B50" s="1532" t="s">
        <v>206</v>
      </c>
      <c r="C50" s="1533"/>
      <c r="D50" s="443">
        <v>0</v>
      </c>
      <c r="E50" s="444">
        <v>5500</v>
      </c>
      <c r="F50" s="443">
        <v>0</v>
      </c>
      <c r="G50" s="445">
        <v>5800</v>
      </c>
      <c r="H50" s="446">
        <v>5800</v>
      </c>
      <c r="I50" s="453">
        <v>6100</v>
      </c>
      <c r="J50" s="484">
        <v>0</v>
      </c>
      <c r="K50" s="460">
        <v>0</v>
      </c>
      <c r="L50" s="373">
        <f t="shared" si="1"/>
        <v>6100</v>
      </c>
      <c r="M50" s="450" t="s">
        <v>71</v>
      </c>
      <c r="N50" s="451">
        <f t="shared" si="9"/>
        <v>105.17241379310344</v>
      </c>
      <c r="O50" s="198"/>
      <c r="P50" s="198"/>
      <c r="Q50" s="198"/>
      <c r="R50" s="198"/>
      <c r="S50" s="198"/>
      <c r="T50" s="198"/>
      <c r="U50" s="198"/>
      <c r="V50" s="198"/>
      <c r="W50" s="198"/>
    </row>
    <row r="51" spans="1:23" s="206" customFormat="1" ht="15" customHeight="1" thickBot="1" x14ac:dyDescent="0.25">
      <c r="A51" s="1358" t="s">
        <v>133</v>
      </c>
      <c r="B51" s="1540" t="s">
        <v>209</v>
      </c>
      <c r="C51" s="1541"/>
      <c r="D51" s="1234">
        <v>5500</v>
      </c>
      <c r="E51" s="1235">
        <v>13664.2</v>
      </c>
      <c r="F51" s="1234">
        <v>12800</v>
      </c>
      <c r="G51" s="1236">
        <v>13496.45</v>
      </c>
      <c r="H51" s="1237">
        <v>10802.94</v>
      </c>
      <c r="I51" s="210">
        <v>13440</v>
      </c>
      <c r="J51" s="1355">
        <v>0</v>
      </c>
      <c r="K51" s="1356">
        <v>0</v>
      </c>
      <c r="L51" s="1357">
        <f t="shared" si="1"/>
        <v>13440</v>
      </c>
      <c r="M51" s="833">
        <f t="shared" ref="M51" si="11">L51/F51*100</f>
        <v>105</v>
      </c>
      <c r="N51" s="834">
        <f t="shared" ref="N51" si="12">L51/G51*100</f>
        <v>99.581741865453495</v>
      </c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s="148" customFormat="1" ht="15" customHeight="1" x14ac:dyDescent="0.2">
      <c r="A52" s="1352">
        <v>3419</v>
      </c>
      <c r="B52" s="1545" t="s">
        <v>223</v>
      </c>
      <c r="C52" s="1546"/>
      <c r="D52" s="464">
        <v>1000</v>
      </c>
      <c r="E52" s="852">
        <v>99.82</v>
      </c>
      <c r="F52" s="464">
        <v>0</v>
      </c>
      <c r="G52" s="466">
        <v>0</v>
      </c>
      <c r="H52" s="856">
        <v>0</v>
      </c>
      <c r="I52" s="857">
        <v>0</v>
      </c>
      <c r="J52" s="459">
        <v>0</v>
      </c>
      <c r="K52" s="460">
        <v>0</v>
      </c>
      <c r="L52" s="461">
        <f t="shared" si="1"/>
        <v>0</v>
      </c>
      <c r="M52" s="1353" t="s">
        <v>71</v>
      </c>
      <c r="N52" s="1354" t="s">
        <v>71</v>
      </c>
      <c r="O52" s="198"/>
      <c r="P52" s="198"/>
      <c r="Q52" s="198"/>
      <c r="R52" s="198"/>
      <c r="S52" s="198"/>
      <c r="T52" s="198"/>
      <c r="U52" s="198"/>
      <c r="V52" s="198"/>
      <c r="W52" s="198"/>
    </row>
    <row r="53" spans="1:23" s="148" customFormat="1" ht="15" customHeight="1" x14ac:dyDescent="0.2">
      <c r="A53" s="483">
        <v>3269</v>
      </c>
      <c r="B53" s="1519" t="s">
        <v>224</v>
      </c>
      <c r="C53" s="1520"/>
      <c r="D53" s="443">
        <v>0</v>
      </c>
      <c r="E53" s="444">
        <v>338.8</v>
      </c>
      <c r="F53" s="443">
        <v>0</v>
      </c>
      <c r="G53" s="445">
        <v>0</v>
      </c>
      <c r="H53" s="446">
        <v>0</v>
      </c>
      <c r="I53" s="453">
        <v>0</v>
      </c>
      <c r="J53" s="484">
        <v>0</v>
      </c>
      <c r="K53" s="448">
        <v>0</v>
      </c>
      <c r="L53" s="373">
        <f t="shared" si="1"/>
        <v>0</v>
      </c>
      <c r="M53" s="196" t="s">
        <v>71</v>
      </c>
      <c r="N53" s="197" t="s">
        <v>71</v>
      </c>
      <c r="O53" s="198"/>
      <c r="P53" s="198"/>
      <c r="Q53" s="198"/>
      <c r="R53" s="198"/>
      <c r="S53" s="198"/>
      <c r="T53" s="198"/>
      <c r="U53" s="198"/>
      <c r="V53" s="198"/>
      <c r="W53" s="198"/>
    </row>
    <row r="54" spans="1:23" s="148" customFormat="1" ht="15" customHeight="1" x14ac:dyDescent="0.2">
      <c r="A54" s="483">
        <v>3269</v>
      </c>
      <c r="B54" s="1519" t="s">
        <v>312</v>
      </c>
      <c r="C54" s="1520"/>
      <c r="D54" s="443">
        <v>2000</v>
      </c>
      <c r="E54" s="444">
        <v>0</v>
      </c>
      <c r="F54" s="443">
        <v>4700</v>
      </c>
      <c r="G54" s="445">
        <v>4700</v>
      </c>
      <c r="H54" s="446">
        <v>1795</v>
      </c>
      <c r="I54" s="453">
        <v>2200</v>
      </c>
      <c r="J54" s="484">
        <v>1800</v>
      </c>
      <c r="K54" s="448">
        <v>1200</v>
      </c>
      <c r="L54" s="373">
        <f t="shared" si="1"/>
        <v>5200</v>
      </c>
      <c r="M54" s="196">
        <f t="shared" ref="M54:M58" si="13">L54/F54*100</f>
        <v>110.63829787234043</v>
      </c>
      <c r="N54" s="197">
        <f t="shared" ref="N54:N58" si="14">L54/G54*100</f>
        <v>110.63829787234043</v>
      </c>
      <c r="O54" s="198"/>
      <c r="P54" s="198"/>
      <c r="Q54" s="198"/>
      <c r="R54" s="198"/>
      <c r="S54" s="198"/>
      <c r="T54" s="198"/>
      <c r="U54" s="198"/>
      <c r="V54" s="198"/>
      <c r="W54" s="198"/>
    </row>
    <row r="55" spans="1:23" s="148" customFormat="1" ht="15" customHeight="1" x14ac:dyDescent="0.2">
      <c r="A55" s="483" t="s">
        <v>225</v>
      </c>
      <c r="B55" s="1519" t="s">
        <v>276</v>
      </c>
      <c r="C55" s="1520"/>
      <c r="D55" s="443">
        <v>0</v>
      </c>
      <c r="E55" s="485">
        <v>189.32</v>
      </c>
      <c r="F55" s="443">
        <v>0</v>
      </c>
      <c r="G55" s="486">
        <v>0</v>
      </c>
      <c r="H55" s="446">
        <v>0</v>
      </c>
      <c r="I55" s="453">
        <v>0</v>
      </c>
      <c r="J55" s="447">
        <v>0</v>
      </c>
      <c r="K55" s="448">
        <v>0</v>
      </c>
      <c r="L55" s="373">
        <f t="shared" si="1"/>
        <v>0</v>
      </c>
      <c r="M55" s="196" t="s">
        <v>71</v>
      </c>
      <c r="N55" s="197" t="s">
        <v>71</v>
      </c>
      <c r="O55" s="198"/>
      <c r="P55" s="198"/>
      <c r="Q55" s="198"/>
      <c r="R55" s="198"/>
      <c r="S55" s="198"/>
      <c r="T55" s="198"/>
      <c r="U55" s="198"/>
      <c r="V55" s="198"/>
      <c r="W55" s="198"/>
    </row>
    <row r="56" spans="1:23" s="148" customFormat="1" ht="30.75" customHeight="1" x14ac:dyDescent="0.2">
      <c r="A56" s="483" t="s">
        <v>226</v>
      </c>
      <c r="B56" s="1532" t="s">
        <v>448</v>
      </c>
      <c r="C56" s="1533"/>
      <c r="D56" s="443">
        <v>0</v>
      </c>
      <c r="E56" s="485">
        <f>2.71+7.6</f>
        <v>10.309999999999999</v>
      </c>
      <c r="F56" s="443">
        <v>0</v>
      </c>
      <c r="G56" s="486">
        <v>0</v>
      </c>
      <c r="H56" s="446">
        <v>0</v>
      </c>
      <c r="I56" s="453">
        <v>0</v>
      </c>
      <c r="J56" s="447">
        <v>0</v>
      </c>
      <c r="K56" s="448">
        <v>0</v>
      </c>
      <c r="L56" s="373">
        <f t="shared" si="1"/>
        <v>0</v>
      </c>
      <c r="M56" s="196" t="s">
        <v>71</v>
      </c>
      <c r="N56" s="197" t="s">
        <v>71</v>
      </c>
      <c r="O56" s="198"/>
      <c r="P56" s="198"/>
      <c r="Q56" s="198"/>
      <c r="R56" s="198"/>
      <c r="S56" s="198"/>
      <c r="T56" s="198"/>
      <c r="U56" s="198"/>
      <c r="V56" s="198"/>
      <c r="W56" s="198"/>
    </row>
    <row r="57" spans="1:23" s="148" customFormat="1" ht="15" customHeight="1" x14ac:dyDescent="0.2">
      <c r="A57" s="483" t="s">
        <v>212</v>
      </c>
      <c r="B57" s="1545" t="s">
        <v>227</v>
      </c>
      <c r="C57" s="1546"/>
      <c r="D57" s="443">
        <v>0</v>
      </c>
      <c r="E57" s="485">
        <v>0</v>
      </c>
      <c r="F57" s="443">
        <v>10000</v>
      </c>
      <c r="G57" s="486">
        <v>10000</v>
      </c>
      <c r="H57" s="446">
        <v>0</v>
      </c>
      <c r="I57" s="453">
        <v>0</v>
      </c>
      <c r="J57" s="447">
        <v>0</v>
      </c>
      <c r="K57" s="448">
        <v>0</v>
      </c>
      <c r="L57" s="373">
        <f t="shared" si="1"/>
        <v>0</v>
      </c>
      <c r="M57" s="196">
        <f t="shared" si="13"/>
        <v>0</v>
      </c>
      <c r="N57" s="197">
        <f t="shared" si="14"/>
        <v>0</v>
      </c>
      <c r="O57" s="198"/>
      <c r="P57" s="198"/>
      <c r="Q57" s="198"/>
      <c r="R57" s="198"/>
      <c r="S57" s="198"/>
      <c r="T57" s="198"/>
      <c r="U57" s="198"/>
      <c r="V57" s="198"/>
      <c r="W57" s="198"/>
    </row>
    <row r="58" spans="1:23" s="148" customFormat="1" ht="15" customHeight="1" x14ac:dyDescent="0.2">
      <c r="A58" s="875" t="s">
        <v>217</v>
      </c>
      <c r="B58" s="1519" t="s">
        <v>228</v>
      </c>
      <c r="C58" s="1520"/>
      <c r="D58" s="443">
        <v>0</v>
      </c>
      <c r="E58" s="485">
        <v>0</v>
      </c>
      <c r="F58" s="443">
        <v>200</v>
      </c>
      <c r="G58" s="486">
        <v>200</v>
      </c>
      <c r="H58" s="446">
        <v>200</v>
      </c>
      <c r="I58" s="447">
        <v>0</v>
      </c>
      <c r="J58" s="447">
        <v>0</v>
      </c>
      <c r="K58" s="448">
        <v>200</v>
      </c>
      <c r="L58" s="876">
        <f t="shared" si="1"/>
        <v>200</v>
      </c>
      <c r="M58" s="196">
        <f t="shared" si="13"/>
        <v>100</v>
      </c>
      <c r="N58" s="197">
        <f t="shared" si="14"/>
        <v>100</v>
      </c>
      <c r="O58" s="198"/>
      <c r="P58" s="198"/>
      <c r="Q58" s="198"/>
      <c r="R58" s="198"/>
      <c r="S58" s="198"/>
      <c r="T58" s="198"/>
      <c r="U58" s="198"/>
      <c r="V58" s="198"/>
      <c r="W58" s="198"/>
    </row>
    <row r="59" spans="1:23" s="148" customFormat="1" ht="36" customHeight="1" thickBot="1" x14ac:dyDescent="0.25">
      <c r="A59" s="1243" t="s">
        <v>472</v>
      </c>
      <c r="B59" s="1538" t="s">
        <v>398</v>
      </c>
      <c r="C59" s="1539"/>
      <c r="D59" s="487">
        <v>0</v>
      </c>
      <c r="E59" s="488">
        <v>0</v>
      </c>
      <c r="F59" s="487">
        <v>0</v>
      </c>
      <c r="G59" s="489">
        <v>185.96</v>
      </c>
      <c r="H59" s="873">
        <v>185.96</v>
      </c>
      <c r="I59" s="490">
        <v>0</v>
      </c>
      <c r="J59" s="490">
        <v>0</v>
      </c>
      <c r="K59" s="874">
        <v>0</v>
      </c>
      <c r="L59" s="876">
        <f t="shared" ref="L59" si="15">SUM(I59:K59)</f>
        <v>0</v>
      </c>
      <c r="M59" s="196" t="s">
        <v>71</v>
      </c>
      <c r="N59" s="197">
        <f t="shared" ref="N59" si="16">L59/G59*100</f>
        <v>0</v>
      </c>
      <c r="O59" s="198"/>
      <c r="P59" s="198"/>
      <c r="Q59" s="198"/>
      <c r="R59" s="198"/>
      <c r="S59" s="198"/>
      <c r="T59" s="198"/>
      <c r="U59" s="198"/>
      <c r="V59" s="198"/>
      <c r="W59" s="198"/>
    </row>
    <row r="60" spans="1:23" s="223" customFormat="1" ht="20.100000000000001" customHeight="1" thickBot="1" x14ac:dyDescent="0.25">
      <c r="A60" s="1027"/>
      <c r="B60" s="1195" t="s">
        <v>99</v>
      </c>
      <c r="C60" s="1196"/>
      <c r="D60" s="956">
        <f>D9+D26+D38+D40+D41+D42+D43+D44+D45+D52+D53+D54+D55+D56+D57+D58</f>
        <v>629388</v>
      </c>
      <c r="E60" s="997">
        <f>E9+E26+E38+E40+E41+E42+E43+E44+E45+E52+E53+E54+E55+E56+E57+E58</f>
        <v>680165.76</v>
      </c>
      <c r="F60" s="956">
        <f>F9+F26+F38+F40+F41+F42+F43+F44+F45+F52+F53+F54+F55+F56+F57+F58</f>
        <v>632115</v>
      </c>
      <c r="G60" s="957">
        <f>G9+G26+G38+G40+G41+G42+G43+G44+G45+G52+G53+G54+G55+G56+G57+G58+G59</f>
        <v>654418.74999999988</v>
      </c>
      <c r="H60" s="979">
        <f>H9+H26+H38+H40+H41+H42+H43+H44+H45+H52+H53+H54+H55+H56+H57+H58+H59</f>
        <v>437314.15</v>
      </c>
      <c r="I60" s="976">
        <f>I9+I26+I38+I40+I41+I42+I43+I44+I45+I52+I53+I54+I55+I56+I57+I58</f>
        <v>564519</v>
      </c>
      <c r="J60" s="976">
        <f>J9+J26+J38+J40+J41+J42+J43+J44+J45+J52+J53+J54+J55+J56+J57+J58</f>
        <v>86836</v>
      </c>
      <c r="K60" s="960">
        <f>K9+K26+K38+K40+K41+K42+K43+K44+K45+K52+K53+K54+K55+K56+K57+K58</f>
        <v>11400</v>
      </c>
      <c r="L60" s="221">
        <f>L9+L26+L38+L40+L41+L42+L43+L44+L45+L52+L53+L54+L55+L56+L57+L58</f>
        <v>662755</v>
      </c>
      <c r="M60" s="998">
        <f t="shared" si="2"/>
        <v>104.84721925598981</v>
      </c>
      <c r="N60" s="999">
        <f t="shared" si="3"/>
        <v>101.27384033541216</v>
      </c>
      <c r="O60" s="222"/>
    </row>
  </sheetData>
  <mergeCells count="57">
    <mergeCell ref="B57:C57"/>
    <mergeCell ref="B58:C58"/>
    <mergeCell ref="B52:C52"/>
    <mergeCell ref="B53:C53"/>
    <mergeCell ref="B54:C54"/>
    <mergeCell ref="B55:C55"/>
    <mergeCell ref="B56:C56"/>
    <mergeCell ref="B51:C51"/>
    <mergeCell ref="B41:C41"/>
    <mergeCell ref="B42:C42"/>
    <mergeCell ref="B43:C43"/>
    <mergeCell ref="B44:C44"/>
    <mergeCell ref="A45:C45"/>
    <mergeCell ref="B46:C46"/>
    <mergeCell ref="B47:C47"/>
    <mergeCell ref="B48:C48"/>
    <mergeCell ref="B49:C49"/>
    <mergeCell ref="B50:C50"/>
    <mergeCell ref="A2:N2"/>
    <mergeCell ref="A6:A7"/>
    <mergeCell ref="D6:E6"/>
    <mergeCell ref="F6:H6"/>
    <mergeCell ref="I6:L6"/>
    <mergeCell ref="M6:M7"/>
    <mergeCell ref="N6:N7"/>
    <mergeCell ref="B6:C7"/>
    <mergeCell ref="B59:C59"/>
    <mergeCell ref="B11:C11"/>
    <mergeCell ref="B12:C12"/>
    <mergeCell ref="B28:C28"/>
    <mergeCell ref="B29:C2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40:C40"/>
    <mergeCell ref="A23:A25"/>
    <mergeCell ref="A9:C9"/>
    <mergeCell ref="A26:C26"/>
    <mergeCell ref="A38:A39"/>
    <mergeCell ref="A10:C10"/>
    <mergeCell ref="A27:C27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1"/>
  <sheetViews>
    <sheetView workbookViewId="0">
      <selection activeCell="F24" sqref="F24"/>
    </sheetView>
  </sheetViews>
  <sheetFormatPr defaultRowHeight="12.75" x14ac:dyDescent="0.2"/>
  <cols>
    <col min="1" max="1" width="8.140625" style="1" customWidth="1"/>
    <col min="2" max="2" width="6.7109375" style="1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28515625" style="2" customWidth="1"/>
    <col min="11" max="11" width="14.7109375" style="2" customWidth="1"/>
    <col min="12" max="12" width="14.7109375" style="4" customWidth="1"/>
    <col min="13" max="14" width="9.7109375" style="5" customWidth="1"/>
    <col min="15" max="15" width="9.140625" style="1"/>
    <col min="16" max="16" width="9.85546875" style="3" bestFit="1" customWidth="1"/>
    <col min="17" max="16384" width="9.140625" style="1"/>
  </cols>
  <sheetData>
    <row r="1" spans="1:255" ht="15" customHeight="1" x14ac:dyDescent="0.25">
      <c r="N1" s="6"/>
    </row>
    <row r="2" spans="1:255" ht="20.100000000000001" customHeight="1" x14ac:dyDescent="0.3">
      <c r="A2" s="1468" t="s">
        <v>154</v>
      </c>
      <c r="B2" s="1556"/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7"/>
    </row>
    <row r="3" spans="1:255" ht="15" customHeight="1" x14ac:dyDescent="0.2"/>
    <row r="4" spans="1:255" ht="20.100000000000001" customHeight="1" x14ac:dyDescent="0.3">
      <c r="A4" s="7" t="s">
        <v>320</v>
      </c>
      <c r="G4" s="1558"/>
      <c r="H4" s="1558"/>
      <c r="M4" s="8"/>
    </row>
    <row r="5" spans="1:255" ht="15" customHeight="1" thickBot="1" x14ac:dyDescent="0.35">
      <c r="A5" s="7"/>
      <c r="N5" s="8" t="s">
        <v>0</v>
      </c>
    </row>
    <row r="6" spans="1:255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  <c r="P6" s="1220"/>
    </row>
    <row r="7" spans="1:255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937" t="s">
        <v>169</v>
      </c>
      <c r="G7" s="938" t="s">
        <v>470</v>
      </c>
      <c r="H7" s="936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  <c r="P7" s="1220"/>
    </row>
    <row r="8" spans="1:255" s="18" customFormat="1" ht="20.100000000000001" customHeight="1" thickBot="1" x14ac:dyDescent="0.3">
      <c r="A8" s="9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586"/>
      <c r="M8" s="587"/>
      <c r="N8" s="588"/>
      <c r="P8" s="1221"/>
    </row>
    <row r="9" spans="1:255" s="20" customFormat="1" ht="29.25" customHeight="1" x14ac:dyDescent="0.2">
      <c r="A9" s="1513">
        <v>3314</v>
      </c>
      <c r="B9" s="1549" t="s">
        <v>321</v>
      </c>
      <c r="C9" s="1550"/>
      <c r="D9" s="623">
        <v>34431</v>
      </c>
      <c r="E9" s="624">
        <v>36363.017</v>
      </c>
      <c r="F9" s="620">
        <v>34431</v>
      </c>
      <c r="G9" s="518">
        <v>34484</v>
      </c>
      <c r="H9" s="601">
        <v>28062.03</v>
      </c>
      <c r="I9" s="738">
        <f>I10+I11+I12</f>
        <v>31158</v>
      </c>
      <c r="J9" s="739">
        <f>J10+J11+J12</f>
        <v>3681</v>
      </c>
      <c r="K9" s="740">
        <f>K10+K11+K12</f>
        <v>1433</v>
      </c>
      <c r="L9" s="366">
        <f t="shared" ref="L9:L17" si="0">SUM(I9:K9)</f>
        <v>36272</v>
      </c>
      <c r="M9" s="602">
        <f t="shared" ref="M9:M17" si="1">L9/F9*100</f>
        <v>105.34692573552904</v>
      </c>
      <c r="N9" s="603">
        <f t="shared" ref="N9:N17" si="2">L9/G9*100</f>
        <v>105.18501333951977</v>
      </c>
      <c r="O9" s="589"/>
      <c r="P9" s="1222"/>
      <c r="Q9" s="147"/>
      <c r="R9" s="147"/>
      <c r="S9" s="147"/>
      <c r="T9" s="147"/>
    </row>
    <row r="10" spans="1:255" s="143" customFormat="1" ht="15" customHeight="1" x14ac:dyDescent="0.2">
      <c r="A10" s="1511"/>
      <c r="B10" s="1553" t="s">
        <v>133</v>
      </c>
      <c r="C10" s="240" t="s">
        <v>208</v>
      </c>
      <c r="D10" s="199">
        <v>6796</v>
      </c>
      <c r="E10" s="200">
        <v>7184.3</v>
      </c>
      <c r="F10" s="621">
        <v>6796</v>
      </c>
      <c r="G10" s="604">
        <v>6796</v>
      </c>
      <c r="H10" s="605">
        <v>5097</v>
      </c>
      <c r="I10" s="235">
        <v>6796</v>
      </c>
      <c r="J10" s="220">
        <v>0</v>
      </c>
      <c r="K10" s="204">
        <v>0</v>
      </c>
      <c r="L10" s="164">
        <f t="shared" si="0"/>
        <v>6796</v>
      </c>
      <c r="M10" s="606">
        <f t="shared" si="1"/>
        <v>100</v>
      </c>
      <c r="N10" s="607">
        <f t="shared" si="2"/>
        <v>100</v>
      </c>
      <c r="P10" s="1222"/>
      <c r="IU10" s="236"/>
    </row>
    <row r="11" spans="1:255" s="143" customFormat="1" ht="15" customHeight="1" x14ac:dyDescent="0.2">
      <c r="A11" s="1511"/>
      <c r="B11" s="1554"/>
      <c r="C11" s="608" t="s">
        <v>209</v>
      </c>
      <c r="D11" s="199">
        <v>26820</v>
      </c>
      <c r="E11" s="200">
        <v>27938.717000000001</v>
      </c>
      <c r="F11" s="621">
        <v>26820</v>
      </c>
      <c r="G11" s="604">
        <v>26820</v>
      </c>
      <c r="H11" s="605">
        <v>22353.79</v>
      </c>
      <c r="I11" s="235">
        <v>24362</v>
      </c>
      <c r="J11" s="220">
        <v>2866</v>
      </c>
      <c r="K11" s="204">
        <v>1433</v>
      </c>
      <c r="L11" s="164">
        <f t="shared" si="0"/>
        <v>28661</v>
      </c>
      <c r="M11" s="606">
        <f t="shared" si="1"/>
        <v>106.86428038777032</v>
      </c>
      <c r="N11" s="607">
        <f t="shared" si="2"/>
        <v>106.86428038777032</v>
      </c>
      <c r="O11" s="236"/>
      <c r="P11" s="1222"/>
      <c r="IU11" s="236"/>
    </row>
    <row r="12" spans="1:255" s="143" customFormat="1" ht="15" customHeight="1" x14ac:dyDescent="0.2">
      <c r="A12" s="1512"/>
      <c r="B12" s="1555"/>
      <c r="C12" s="240" t="s">
        <v>210</v>
      </c>
      <c r="D12" s="199">
        <v>815</v>
      </c>
      <c r="E12" s="200">
        <v>1240</v>
      </c>
      <c r="F12" s="621">
        <v>815</v>
      </c>
      <c r="G12" s="604">
        <v>815</v>
      </c>
      <c r="H12" s="605">
        <v>611.24</v>
      </c>
      <c r="I12" s="235">
        <v>0</v>
      </c>
      <c r="J12" s="220">
        <v>815</v>
      </c>
      <c r="K12" s="204">
        <v>0</v>
      </c>
      <c r="L12" s="164">
        <f t="shared" si="0"/>
        <v>815</v>
      </c>
      <c r="M12" s="606">
        <f t="shared" si="1"/>
        <v>100</v>
      </c>
      <c r="N12" s="607">
        <f t="shared" si="2"/>
        <v>100</v>
      </c>
      <c r="P12" s="1222"/>
      <c r="IU12" s="236"/>
    </row>
    <row r="13" spans="1:255" s="20" customFormat="1" ht="29.25" customHeight="1" x14ac:dyDescent="0.2">
      <c r="A13" s="1510">
        <v>3315</v>
      </c>
      <c r="B13" s="1547" t="s">
        <v>322</v>
      </c>
      <c r="C13" s="1548"/>
      <c r="D13" s="625">
        <v>268787</v>
      </c>
      <c r="E13" s="626">
        <v>289688.44799999997</v>
      </c>
      <c r="F13" s="622">
        <v>269491</v>
      </c>
      <c r="G13" s="498">
        <v>279057.5</v>
      </c>
      <c r="H13" s="505">
        <v>216081.35</v>
      </c>
      <c r="I13" s="548">
        <f>I14+I15+I16</f>
        <v>233948</v>
      </c>
      <c r="J13" s="501">
        <f>J14+J15+J16</f>
        <v>29715</v>
      </c>
      <c r="K13" s="502">
        <f>K14+K15+K16</f>
        <v>18768</v>
      </c>
      <c r="L13" s="373">
        <f t="shared" si="0"/>
        <v>282431</v>
      </c>
      <c r="M13" s="609">
        <f t="shared" si="1"/>
        <v>104.80164458182277</v>
      </c>
      <c r="N13" s="610">
        <f t="shared" si="2"/>
        <v>101.20889064081776</v>
      </c>
      <c r="O13" s="590"/>
      <c r="P13" s="1222"/>
      <c r="IU13" s="590"/>
    </row>
    <row r="14" spans="1:255" s="143" customFormat="1" ht="15" customHeight="1" x14ac:dyDescent="0.2">
      <c r="A14" s="1511"/>
      <c r="B14" s="1553" t="s">
        <v>133</v>
      </c>
      <c r="C14" s="240" t="s">
        <v>208</v>
      </c>
      <c r="D14" s="199">
        <v>47164</v>
      </c>
      <c r="E14" s="627">
        <v>51745.2</v>
      </c>
      <c r="F14" s="621">
        <v>47868</v>
      </c>
      <c r="G14" s="604">
        <v>52306</v>
      </c>
      <c r="H14" s="605">
        <v>40338.959999999999</v>
      </c>
      <c r="I14" s="741">
        <v>47868</v>
      </c>
      <c r="J14" s="742">
        <v>0</v>
      </c>
      <c r="K14" s="743">
        <v>0</v>
      </c>
      <c r="L14" s="164">
        <f t="shared" si="0"/>
        <v>47868</v>
      </c>
      <c r="M14" s="606">
        <f t="shared" si="1"/>
        <v>100</v>
      </c>
      <c r="N14" s="611">
        <f t="shared" si="2"/>
        <v>91.515313730738342</v>
      </c>
      <c r="P14" s="1222"/>
    </row>
    <row r="15" spans="1:255" s="143" customFormat="1" ht="15" customHeight="1" x14ac:dyDescent="0.2">
      <c r="A15" s="1511"/>
      <c r="B15" s="1554"/>
      <c r="C15" s="608" t="s">
        <v>209</v>
      </c>
      <c r="D15" s="199">
        <v>205978</v>
      </c>
      <c r="E15" s="627">
        <v>206445.08300000001</v>
      </c>
      <c r="F15" s="621">
        <v>205978</v>
      </c>
      <c r="G15" s="604">
        <v>207842.41</v>
      </c>
      <c r="H15" s="605">
        <v>162836.79999999999</v>
      </c>
      <c r="I15" s="741">
        <v>186080</v>
      </c>
      <c r="J15" s="742">
        <v>21892</v>
      </c>
      <c r="K15" s="743">
        <v>10946</v>
      </c>
      <c r="L15" s="164">
        <f t="shared" si="0"/>
        <v>218918</v>
      </c>
      <c r="M15" s="606">
        <f t="shared" si="1"/>
        <v>106.28222431521812</v>
      </c>
      <c r="N15" s="611">
        <f t="shared" si="2"/>
        <v>105.32884024968725</v>
      </c>
      <c r="P15" s="1222"/>
    </row>
    <row r="16" spans="1:255" s="143" customFormat="1" ht="15" customHeight="1" x14ac:dyDescent="0.2">
      <c r="A16" s="1512"/>
      <c r="B16" s="1555"/>
      <c r="C16" s="608" t="s">
        <v>210</v>
      </c>
      <c r="D16" s="199">
        <v>15645</v>
      </c>
      <c r="E16" s="627">
        <v>31498.165000000001</v>
      </c>
      <c r="F16" s="621">
        <v>15645</v>
      </c>
      <c r="G16" s="604">
        <v>16816.89</v>
      </c>
      <c r="H16" s="605">
        <v>12905.59</v>
      </c>
      <c r="I16" s="235">
        <v>0</v>
      </c>
      <c r="J16" s="220">
        <v>7823</v>
      </c>
      <c r="K16" s="204">
        <v>7822</v>
      </c>
      <c r="L16" s="164">
        <f t="shared" si="0"/>
        <v>15645</v>
      </c>
      <c r="M16" s="606">
        <f t="shared" si="1"/>
        <v>100</v>
      </c>
      <c r="N16" s="611">
        <f t="shared" si="2"/>
        <v>93.031470146977242</v>
      </c>
      <c r="P16" s="1222"/>
    </row>
    <row r="17" spans="1:16" s="20" customFormat="1" ht="29.25" customHeight="1" x14ac:dyDescent="0.2">
      <c r="A17" s="1510">
        <v>3321</v>
      </c>
      <c r="B17" s="1547" t="s">
        <v>323</v>
      </c>
      <c r="C17" s="1548"/>
      <c r="D17" s="625">
        <v>14547</v>
      </c>
      <c r="E17" s="626">
        <v>14802.2</v>
      </c>
      <c r="F17" s="622">
        <v>14547.000000000002</v>
      </c>
      <c r="G17" s="498">
        <v>14573.4</v>
      </c>
      <c r="H17" s="505">
        <v>11728.9</v>
      </c>
      <c r="I17" s="548">
        <f>I20+I19+I18</f>
        <v>12983</v>
      </c>
      <c r="J17" s="501">
        <f t="shared" ref="J17:K17" si="3">J20+J19+J18</f>
        <v>1527</v>
      </c>
      <c r="K17" s="502">
        <f t="shared" si="3"/>
        <v>764</v>
      </c>
      <c r="L17" s="373">
        <f t="shared" si="0"/>
        <v>15274</v>
      </c>
      <c r="M17" s="609">
        <f t="shared" si="1"/>
        <v>104.99759400563688</v>
      </c>
      <c r="N17" s="629">
        <f t="shared" si="2"/>
        <v>104.80738880425982</v>
      </c>
      <c r="P17" s="1222"/>
    </row>
    <row r="18" spans="1:16" s="143" customFormat="1" ht="15" customHeight="1" x14ac:dyDescent="0.2">
      <c r="A18" s="1511"/>
      <c r="B18" s="1553" t="s">
        <v>133</v>
      </c>
      <c r="C18" s="240" t="s">
        <v>208</v>
      </c>
      <c r="D18" s="199">
        <v>0</v>
      </c>
      <c r="E18" s="200">
        <v>0</v>
      </c>
      <c r="F18" s="621">
        <v>0</v>
      </c>
      <c r="G18" s="614">
        <v>0</v>
      </c>
      <c r="H18" s="615">
        <v>0</v>
      </c>
      <c r="I18" s="235">
        <v>0</v>
      </c>
      <c r="J18" s="220">
        <v>0</v>
      </c>
      <c r="K18" s="204">
        <v>0</v>
      </c>
      <c r="L18" s="164">
        <f t="shared" ref="L18:L25" si="4">SUM(I18:K18)</f>
        <v>0</v>
      </c>
      <c r="M18" s="606" t="s">
        <v>71</v>
      </c>
      <c r="N18" s="611" t="s">
        <v>71</v>
      </c>
      <c r="P18" s="1222"/>
    </row>
    <row r="19" spans="1:16" s="143" customFormat="1" ht="15" customHeight="1" x14ac:dyDescent="0.2">
      <c r="A19" s="1511"/>
      <c r="B19" s="1554"/>
      <c r="C19" s="608" t="s">
        <v>209</v>
      </c>
      <c r="D19" s="199">
        <v>14547</v>
      </c>
      <c r="E19" s="200">
        <v>14582.2</v>
      </c>
      <c r="F19" s="621">
        <v>14547.000000000002</v>
      </c>
      <c r="G19" s="614">
        <v>14573.4</v>
      </c>
      <c r="H19" s="615">
        <v>11728.9</v>
      </c>
      <c r="I19" s="741">
        <v>12983</v>
      </c>
      <c r="J19" s="742">
        <v>1527</v>
      </c>
      <c r="K19" s="743">
        <v>764</v>
      </c>
      <c r="L19" s="164">
        <f t="shared" si="4"/>
        <v>15274</v>
      </c>
      <c r="M19" s="606">
        <f>L19/F19*100</f>
        <v>104.99759400563688</v>
      </c>
      <c r="N19" s="611">
        <f>L19/G19*100</f>
        <v>104.80738880425982</v>
      </c>
      <c r="P19" s="1222"/>
    </row>
    <row r="20" spans="1:16" s="143" customFormat="1" ht="15" customHeight="1" x14ac:dyDescent="0.2">
      <c r="A20" s="1512"/>
      <c r="B20" s="1555"/>
      <c r="C20" s="240" t="s">
        <v>210</v>
      </c>
      <c r="D20" s="199">
        <v>0</v>
      </c>
      <c r="E20" s="200">
        <v>220</v>
      </c>
      <c r="F20" s="621">
        <v>0</v>
      </c>
      <c r="G20" s="614">
        <v>0</v>
      </c>
      <c r="H20" s="615">
        <v>0</v>
      </c>
      <c r="I20" s="235">
        <v>0</v>
      </c>
      <c r="J20" s="220">
        <v>0</v>
      </c>
      <c r="K20" s="204">
        <v>0</v>
      </c>
      <c r="L20" s="164">
        <f t="shared" si="4"/>
        <v>0</v>
      </c>
      <c r="M20" s="606" t="s">
        <v>71</v>
      </c>
      <c r="N20" s="611" t="s">
        <v>71</v>
      </c>
      <c r="P20" s="1222"/>
    </row>
    <row r="21" spans="1:16" s="143" customFormat="1" ht="30.75" customHeight="1" x14ac:dyDescent="0.2">
      <c r="A21" s="628">
        <v>3319</v>
      </c>
      <c r="B21" s="1547" t="s">
        <v>401</v>
      </c>
      <c r="C21" s="1548"/>
      <c r="D21" s="625">
        <v>0</v>
      </c>
      <c r="E21" s="626">
        <v>0</v>
      </c>
      <c r="F21" s="622">
        <v>0</v>
      </c>
      <c r="G21" s="887">
        <v>13471.53</v>
      </c>
      <c r="H21" s="888">
        <v>0</v>
      </c>
      <c r="I21" s="744">
        <v>0</v>
      </c>
      <c r="J21" s="745">
        <v>0</v>
      </c>
      <c r="K21" s="746">
        <v>0</v>
      </c>
      <c r="L21" s="379">
        <v>0</v>
      </c>
      <c r="M21" s="630">
        <v>100</v>
      </c>
      <c r="N21" s="631">
        <v>99.81884803820661</v>
      </c>
      <c r="P21" s="1222"/>
    </row>
    <row r="22" spans="1:16" s="20" customFormat="1" ht="15" customHeight="1" x14ac:dyDescent="0.2">
      <c r="A22" s="628">
        <v>3321</v>
      </c>
      <c r="B22" s="1551" t="s">
        <v>324</v>
      </c>
      <c r="C22" s="1552"/>
      <c r="D22" s="625">
        <v>600</v>
      </c>
      <c r="E22" s="626">
        <v>655.52959999999996</v>
      </c>
      <c r="F22" s="622">
        <v>600</v>
      </c>
      <c r="G22" s="498">
        <v>532.88</v>
      </c>
      <c r="H22" s="505">
        <v>532.88</v>
      </c>
      <c r="I22" s="747">
        <v>300</v>
      </c>
      <c r="J22" s="748">
        <v>300</v>
      </c>
      <c r="K22" s="749">
        <v>0</v>
      </c>
      <c r="L22" s="373">
        <f t="shared" si="4"/>
        <v>600</v>
      </c>
      <c r="M22" s="609" t="s">
        <v>71</v>
      </c>
      <c r="N22" s="632" t="s">
        <v>71</v>
      </c>
      <c r="P22" s="1222"/>
    </row>
    <row r="23" spans="1:16" s="20" customFormat="1" ht="15" customHeight="1" x14ac:dyDescent="0.2">
      <c r="A23" s="492">
        <v>3321</v>
      </c>
      <c r="B23" s="1551" t="s">
        <v>325</v>
      </c>
      <c r="C23" s="1552"/>
      <c r="D23" s="368">
        <v>0</v>
      </c>
      <c r="E23" s="378">
        <v>0</v>
      </c>
      <c r="F23" s="497">
        <v>5000</v>
      </c>
      <c r="G23" s="498">
        <v>6033.24</v>
      </c>
      <c r="H23" s="505">
        <v>492.92</v>
      </c>
      <c r="I23" s="548">
        <v>0</v>
      </c>
      <c r="J23" s="501">
        <v>0</v>
      </c>
      <c r="K23" s="502">
        <f>5000-666</f>
        <v>4334</v>
      </c>
      <c r="L23" s="373">
        <f t="shared" si="4"/>
        <v>4334</v>
      </c>
      <c r="M23" s="609">
        <f>L23/F23*100</f>
        <v>86.68</v>
      </c>
      <c r="N23" s="632">
        <f>L23/G23*100</f>
        <v>71.835365408967661</v>
      </c>
      <c r="P23" s="1222"/>
    </row>
    <row r="24" spans="1:16" s="20" customFormat="1" ht="15" x14ac:dyDescent="0.2">
      <c r="A24" s="492">
        <v>3321</v>
      </c>
      <c r="B24" s="1551" t="s">
        <v>344</v>
      </c>
      <c r="C24" s="1552"/>
      <c r="D24" s="625">
        <v>0</v>
      </c>
      <c r="E24" s="626">
        <v>7812.6130000000003</v>
      </c>
      <c r="F24" s="622">
        <v>0</v>
      </c>
      <c r="G24" s="498">
        <v>0</v>
      </c>
      <c r="H24" s="633">
        <v>0</v>
      </c>
      <c r="I24" s="747">
        <v>0</v>
      </c>
      <c r="J24" s="748">
        <v>0</v>
      </c>
      <c r="K24" s="749">
        <v>666</v>
      </c>
      <c r="L24" s="373">
        <f>SUM(I24:K24)</f>
        <v>666</v>
      </c>
      <c r="M24" s="609" t="s">
        <v>71</v>
      </c>
      <c r="N24" s="610" t="s">
        <v>71</v>
      </c>
      <c r="P24" s="1222"/>
    </row>
    <row r="25" spans="1:16" s="20" customFormat="1" ht="15" customHeight="1" x14ac:dyDescent="0.2">
      <c r="A25" s="1510">
        <v>3314</v>
      </c>
      <c r="B25" s="1551" t="s">
        <v>326</v>
      </c>
      <c r="C25" s="1552"/>
      <c r="D25" s="625">
        <v>13700</v>
      </c>
      <c r="E25" s="626">
        <v>13700</v>
      </c>
      <c r="F25" s="879">
        <f>SUM(F26:F30)</f>
        <v>13700</v>
      </c>
      <c r="G25" s="880">
        <f>SUM(G26:G30)</f>
        <v>13908.76</v>
      </c>
      <c r="H25" s="880">
        <f>SUM(H26:H30)</f>
        <v>10975</v>
      </c>
      <c r="I25" s="548">
        <f>SUM(I26:I30)</f>
        <v>13909</v>
      </c>
      <c r="J25" s="501">
        <f t="shared" ref="J25:K25" si="5">SUM(J26:J30)</f>
        <v>0</v>
      </c>
      <c r="K25" s="502">
        <f t="shared" si="5"/>
        <v>0</v>
      </c>
      <c r="L25" s="373">
        <f t="shared" si="4"/>
        <v>13909</v>
      </c>
      <c r="M25" s="609">
        <f t="shared" ref="M25:M30" si="6">L25/F25*100</f>
        <v>101.52554744525548</v>
      </c>
      <c r="N25" s="632">
        <f>L25/G25*100</f>
        <v>100.00172553124793</v>
      </c>
      <c r="P25" s="1222"/>
    </row>
    <row r="26" spans="1:16" s="143" customFormat="1" ht="15" customHeight="1" x14ac:dyDescent="0.2">
      <c r="A26" s="1511"/>
      <c r="B26" s="1553" t="s">
        <v>133</v>
      </c>
      <c r="C26" s="240" t="s">
        <v>327</v>
      </c>
      <c r="D26" s="235">
        <v>7252</v>
      </c>
      <c r="E26" s="200">
        <v>7252</v>
      </c>
      <c r="F26" s="203">
        <v>7252</v>
      </c>
      <c r="G26" s="604">
        <v>7252</v>
      </c>
      <c r="H26" s="605">
        <v>6139</v>
      </c>
      <c r="I26" s="235">
        <v>7252</v>
      </c>
      <c r="J26" s="220">
        <v>0</v>
      </c>
      <c r="K26" s="204">
        <v>0</v>
      </c>
      <c r="L26" s="164">
        <f t="shared" ref="L26:L35" si="7">SUM(I26:K26)</f>
        <v>7252</v>
      </c>
      <c r="M26" s="606">
        <f t="shared" si="6"/>
        <v>100</v>
      </c>
      <c r="N26" s="607">
        <f t="shared" ref="N26:N32" si="8">L26/G26*100</f>
        <v>100</v>
      </c>
      <c r="P26" s="1222"/>
    </row>
    <row r="27" spans="1:16" s="143" customFormat="1" ht="15" customHeight="1" x14ac:dyDescent="0.2">
      <c r="A27" s="1511"/>
      <c r="B27" s="1554"/>
      <c r="C27" s="240" t="s">
        <v>328</v>
      </c>
      <c r="D27" s="235">
        <v>1211</v>
      </c>
      <c r="E27" s="200">
        <v>1211</v>
      </c>
      <c r="F27" s="203">
        <v>1211</v>
      </c>
      <c r="G27" s="604">
        <v>1242.99</v>
      </c>
      <c r="H27" s="605">
        <v>908.25</v>
      </c>
      <c r="I27" s="235">
        <v>1243</v>
      </c>
      <c r="J27" s="220">
        <v>0</v>
      </c>
      <c r="K27" s="204">
        <v>0</v>
      </c>
      <c r="L27" s="164">
        <f t="shared" si="7"/>
        <v>1243</v>
      </c>
      <c r="M27" s="606">
        <f t="shared" si="6"/>
        <v>102.64244426094137</v>
      </c>
      <c r="N27" s="607">
        <f t="shared" si="8"/>
        <v>100.00080451170162</v>
      </c>
      <c r="P27" s="1222"/>
    </row>
    <row r="28" spans="1:16" s="143" customFormat="1" ht="15" customHeight="1" x14ac:dyDescent="0.2">
      <c r="A28" s="1511"/>
      <c r="B28" s="1554"/>
      <c r="C28" s="240" t="s">
        <v>329</v>
      </c>
      <c r="D28" s="235">
        <v>2078</v>
      </c>
      <c r="E28" s="200">
        <v>2078</v>
      </c>
      <c r="F28" s="203">
        <v>2078</v>
      </c>
      <c r="G28" s="604">
        <v>2156.0100000000002</v>
      </c>
      <c r="H28" s="605">
        <v>1558.5</v>
      </c>
      <c r="I28" s="235">
        <v>2156</v>
      </c>
      <c r="J28" s="220">
        <v>0</v>
      </c>
      <c r="K28" s="204">
        <v>0</v>
      </c>
      <c r="L28" s="164">
        <f t="shared" si="7"/>
        <v>2156</v>
      </c>
      <c r="M28" s="606">
        <f t="shared" si="6"/>
        <v>103.75360923965351</v>
      </c>
      <c r="N28" s="607">
        <f t="shared" si="8"/>
        <v>99.9995361802589</v>
      </c>
      <c r="P28" s="1222"/>
    </row>
    <row r="29" spans="1:16" s="143" customFormat="1" ht="15" customHeight="1" x14ac:dyDescent="0.2">
      <c r="A29" s="1511"/>
      <c r="B29" s="1554"/>
      <c r="C29" s="240" t="s">
        <v>330</v>
      </c>
      <c r="D29" s="235">
        <v>1577</v>
      </c>
      <c r="E29" s="200">
        <v>1577</v>
      </c>
      <c r="F29" s="203">
        <v>1577</v>
      </c>
      <c r="G29" s="604">
        <v>1623.67</v>
      </c>
      <c r="H29" s="605">
        <v>1182.75</v>
      </c>
      <c r="I29" s="235">
        <v>1624</v>
      </c>
      <c r="J29" s="220">
        <v>0</v>
      </c>
      <c r="K29" s="204">
        <v>0</v>
      </c>
      <c r="L29" s="164">
        <f t="shared" si="7"/>
        <v>1624</v>
      </c>
      <c r="M29" s="606">
        <f t="shared" si="6"/>
        <v>102.98034242232086</v>
      </c>
      <c r="N29" s="607">
        <f t="shared" si="8"/>
        <v>100.02032432698762</v>
      </c>
      <c r="P29" s="1222"/>
    </row>
    <row r="30" spans="1:16" s="143" customFormat="1" ht="15" customHeight="1" x14ac:dyDescent="0.2">
      <c r="A30" s="1512"/>
      <c r="B30" s="1555"/>
      <c r="C30" s="616" t="s">
        <v>331</v>
      </c>
      <c r="D30" s="235">
        <v>1582</v>
      </c>
      <c r="E30" s="200">
        <v>1582</v>
      </c>
      <c r="F30" s="203">
        <v>1582</v>
      </c>
      <c r="G30" s="604">
        <v>1634.09</v>
      </c>
      <c r="H30" s="605">
        <v>1186.5</v>
      </c>
      <c r="I30" s="235">
        <v>1634</v>
      </c>
      <c r="J30" s="220">
        <v>0</v>
      </c>
      <c r="K30" s="204">
        <v>0</v>
      </c>
      <c r="L30" s="164">
        <f t="shared" si="7"/>
        <v>1634</v>
      </c>
      <c r="M30" s="606">
        <f t="shared" si="6"/>
        <v>103.28697850821744</v>
      </c>
      <c r="N30" s="607">
        <f t="shared" si="8"/>
        <v>99.994492347422721</v>
      </c>
      <c r="P30" s="1222"/>
    </row>
    <row r="31" spans="1:16" s="591" customFormat="1" ht="29.25" customHeight="1" x14ac:dyDescent="0.2">
      <c r="A31" s="617">
        <v>3314</v>
      </c>
      <c r="B31" s="1547" t="s">
        <v>332</v>
      </c>
      <c r="C31" s="1548"/>
      <c r="D31" s="877">
        <v>0</v>
      </c>
      <c r="E31" s="878">
        <v>610.12</v>
      </c>
      <c r="F31" s="879">
        <v>0</v>
      </c>
      <c r="G31" s="880">
        <v>456</v>
      </c>
      <c r="H31" s="881">
        <v>446</v>
      </c>
      <c r="I31" s="882">
        <v>0</v>
      </c>
      <c r="J31" s="883">
        <v>0</v>
      </c>
      <c r="K31" s="884">
        <v>0</v>
      </c>
      <c r="L31" s="885">
        <f t="shared" si="7"/>
        <v>0</v>
      </c>
      <c r="M31" s="886" t="s">
        <v>71</v>
      </c>
      <c r="N31" s="610">
        <f t="shared" ref="N31" si="9">L31/G31*100</f>
        <v>0</v>
      </c>
      <c r="P31" s="1222"/>
    </row>
    <row r="32" spans="1:16" s="591" customFormat="1" ht="29.25" customHeight="1" x14ac:dyDescent="0.2">
      <c r="A32" s="617">
        <v>3315</v>
      </c>
      <c r="B32" s="1547" t="s">
        <v>333</v>
      </c>
      <c r="C32" s="1548"/>
      <c r="D32" s="877">
        <v>6000</v>
      </c>
      <c r="E32" s="878">
        <v>5202.8233</v>
      </c>
      <c r="F32" s="879">
        <v>6000</v>
      </c>
      <c r="G32" s="880">
        <v>5828</v>
      </c>
      <c r="H32" s="881">
        <v>3741.46</v>
      </c>
      <c r="I32" s="882">
        <v>0</v>
      </c>
      <c r="J32" s="883">
        <v>3800</v>
      </c>
      <c r="K32" s="884">
        <v>2000</v>
      </c>
      <c r="L32" s="885">
        <f t="shared" si="7"/>
        <v>5800</v>
      </c>
      <c r="M32" s="886">
        <f>L32/F32*100</f>
        <v>96.666666666666671</v>
      </c>
      <c r="N32" s="610">
        <f t="shared" si="8"/>
        <v>99.519560741249151</v>
      </c>
      <c r="P32" s="1222"/>
    </row>
    <row r="33" spans="1:16" s="591" customFormat="1" ht="29.25" customHeight="1" x14ac:dyDescent="0.2">
      <c r="A33" s="617">
        <v>3321</v>
      </c>
      <c r="B33" s="1547" t="s">
        <v>334</v>
      </c>
      <c r="C33" s="1548"/>
      <c r="D33" s="877">
        <v>0</v>
      </c>
      <c r="E33" s="878">
        <v>331.5</v>
      </c>
      <c r="F33" s="879">
        <v>0</v>
      </c>
      <c r="G33" s="880">
        <v>0</v>
      </c>
      <c r="H33" s="881">
        <v>0</v>
      </c>
      <c r="I33" s="882">
        <v>0</v>
      </c>
      <c r="J33" s="883">
        <v>0</v>
      </c>
      <c r="K33" s="884">
        <v>0</v>
      </c>
      <c r="L33" s="885">
        <f t="shared" si="7"/>
        <v>0</v>
      </c>
      <c r="M33" s="886" t="s">
        <v>71</v>
      </c>
      <c r="N33" s="610" t="s">
        <v>71</v>
      </c>
      <c r="P33" s="1222"/>
    </row>
    <row r="34" spans="1:16" s="20" customFormat="1" ht="42.75" customHeight="1" x14ac:dyDescent="0.2">
      <c r="A34" s="612">
        <v>3311</v>
      </c>
      <c r="B34" s="1547" t="s">
        <v>335</v>
      </c>
      <c r="C34" s="1548"/>
      <c r="D34" s="625">
        <v>2000</v>
      </c>
      <c r="E34" s="626">
        <v>4000</v>
      </c>
      <c r="F34" s="622">
        <v>2000</v>
      </c>
      <c r="G34" s="498">
        <v>4000</v>
      </c>
      <c r="H34" s="633">
        <v>4000</v>
      </c>
      <c r="I34" s="747">
        <v>0</v>
      </c>
      <c r="J34" s="748">
        <v>2000</v>
      </c>
      <c r="K34" s="749">
        <v>0</v>
      </c>
      <c r="L34" s="373">
        <f t="shared" si="7"/>
        <v>2000</v>
      </c>
      <c r="M34" s="609">
        <f>L34/F34*100</f>
        <v>100</v>
      </c>
      <c r="N34" s="610">
        <f t="shared" ref="N34:N43" si="10">L34/G34*100</f>
        <v>50</v>
      </c>
      <c r="P34" s="1222"/>
    </row>
    <row r="35" spans="1:16" s="20" customFormat="1" ht="15" customHeight="1" x14ac:dyDescent="0.2">
      <c r="A35" s="628">
        <v>3319</v>
      </c>
      <c r="B35" s="1551" t="s">
        <v>336</v>
      </c>
      <c r="C35" s="1552"/>
      <c r="D35" s="625">
        <v>1400</v>
      </c>
      <c r="E35" s="626">
        <v>1800</v>
      </c>
      <c r="F35" s="622">
        <f>SUM(F36:F39)</f>
        <v>1400</v>
      </c>
      <c r="G35" s="498">
        <f>SUM(G36:G39)</f>
        <v>1900</v>
      </c>
      <c r="H35" s="498">
        <f>SUM(H36:H39)</f>
        <v>1893.68</v>
      </c>
      <c r="I35" s="747">
        <v>0</v>
      </c>
      <c r="J35" s="748">
        <f>SUM(J37:J39)</f>
        <v>1600</v>
      </c>
      <c r="K35" s="749">
        <f>SUM(K37:K39)</f>
        <v>0</v>
      </c>
      <c r="L35" s="373">
        <f t="shared" si="7"/>
        <v>1600</v>
      </c>
      <c r="M35" s="609">
        <f>L35/F35*100</f>
        <v>114.28571428571428</v>
      </c>
      <c r="N35" s="610">
        <f t="shared" si="10"/>
        <v>84.210526315789465</v>
      </c>
      <c r="P35" s="1222"/>
    </row>
    <row r="36" spans="1:16" s="143" customFormat="1" ht="15" customHeight="1" x14ac:dyDescent="0.2">
      <c r="A36" s="613"/>
      <c r="B36" s="1553" t="s">
        <v>133</v>
      </c>
      <c r="C36" s="616" t="s">
        <v>337</v>
      </c>
      <c r="D36" s="199">
        <v>0</v>
      </c>
      <c r="E36" s="200">
        <v>0</v>
      </c>
      <c r="F36" s="621">
        <v>0</v>
      </c>
      <c r="G36" s="604">
        <v>500</v>
      </c>
      <c r="H36" s="618">
        <v>493.68</v>
      </c>
      <c r="I36" s="235">
        <v>0</v>
      </c>
      <c r="J36" s="220">
        <v>0</v>
      </c>
      <c r="K36" s="204">
        <v>0</v>
      </c>
      <c r="L36" s="164">
        <f>SUM(I36:K36)</f>
        <v>0</v>
      </c>
      <c r="M36" s="606" t="s">
        <v>71</v>
      </c>
      <c r="N36" s="607">
        <f t="shared" si="10"/>
        <v>0</v>
      </c>
      <c r="P36" s="1222"/>
    </row>
    <row r="37" spans="1:16" s="143" customFormat="1" ht="15" customHeight="1" x14ac:dyDescent="0.2">
      <c r="A37" s="613"/>
      <c r="B37" s="1554"/>
      <c r="C37" s="616" t="s">
        <v>338</v>
      </c>
      <c r="D37" s="199">
        <v>600</v>
      </c>
      <c r="E37" s="200">
        <v>1000</v>
      </c>
      <c r="F37" s="621">
        <v>600</v>
      </c>
      <c r="G37" s="604">
        <v>600</v>
      </c>
      <c r="H37" s="618">
        <v>600</v>
      </c>
      <c r="I37" s="235">
        <v>0</v>
      </c>
      <c r="J37" s="220">
        <v>800</v>
      </c>
      <c r="K37" s="204">
        <v>0</v>
      </c>
      <c r="L37" s="164">
        <f>SUM(I37:K37)</f>
        <v>800</v>
      </c>
      <c r="M37" s="606">
        <f>L37/F37*100</f>
        <v>133.33333333333331</v>
      </c>
      <c r="N37" s="607">
        <f t="shared" si="10"/>
        <v>133.33333333333331</v>
      </c>
      <c r="P37" s="1222"/>
    </row>
    <row r="38" spans="1:16" s="143" customFormat="1" ht="15" customHeight="1" x14ac:dyDescent="0.2">
      <c r="A38" s="613"/>
      <c r="B38" s="1554"/>
      <c r="C38" s="616" t="s">
        <v>339</v>
      </c>
      <c r="D38" s="199">
        <v>500</v>
      </c>
      <c r="E38" s="200">
        <v>500</v>
      </c>
      <c r="F38" s="621">
        <v>500</v>
      </c>
      <c r="G38" s="604">
        <v>500</v>
      </c>
      <c r="H38" s="618">
        <v>500</v>
      </c>
      <c r="I38" s="235">
        <v>0</v>
      </c>
      <c r="J38" s="220">
        <v>500</v>
      </c>
      <c r="K38" s="204">
        <v>0</v>
      </c>
      <c r="L38" s="164">
        <f>SUM(I38:K38)</f>
        <v>500</v>
      </c>
      <c r="M38" s="606">
        <f>L38/F38*100</f>
        <v>100</v>
      </c>
      <c r="N38" s="607">
        <f t="shared" si="10"/>
        <v>100</v>
      </c>
      <c r="P38" s="1222"/>
    </row>
    <row r="39" spans="1:16" s="143" customFormat="1" ht="15" customHeight="1" x14ac:dyDescent="0.2">
      <c r="A39" s="613"/>
      <c r="B39" s="1555"/>
      <c r="C39" s="616" t="s">
        <v>340</v>
      </c>
      <c r="D39" s="199">
        <v>300</v>
      </c>
      <c r="E39" s="200">
        <v>300</v>
      </c>
      <c r="F39" s="621">
        <v>300</v>
      </c>
      <c r="G39" s="604">
        <v>300</v>
      </c>
      <c r="H39" s="618">
        <v>300</v>
      </c>
      <c r="I39" s="235">
        <v>0</v>
      </c>
      <c r="J39" s="220">
        <v>300</v>
      </c>
      <c r="K39" s="204">
        <v>0</v>
      </c>
      <c r="L39" s="164">
        <f>SUM(I39:K39)</f>
        <v>300</v>
      </c>
      <c r="M39" s="606">
        <f>L39/F39*100</f>
        <v>100</v>
      </c>
      <c r="N39" s="607">
        <f t="shared" si="10"/>
        <v>100</v>
      </c>
      <c r="P39" s="1222"/>
    </row>
    <row r="40" spans="1:16" s="20" customFormat="1" ht="15" customHeight="1" x14ac:dyDescent="0.2">
      <c r="A40" s="628">
        <v>3315</v>
      </c>
      <c r="B40" s="1551" t="s">
        <v>275</v>
      </c>
      <c r="C40" s="1552"/>
      <c r="D40" s="625">
        <v>2000</v>
      </c>
      <c r="E40" s="626">
        <v>1968.7367999999999</v>
      </c>
      <c r="F40" s="622">
        <v>2000</v>
      </c>
      <c r="G40" s="498">
        <v>2272.25</v>
      </c>
      <c r="H40" s="633">
        <v>193.04</v>
      </c>
      <c r="I40" s="747">
        <v>0</v>
      </c>
      <c r="J40" s="748">
        <v>2000</v>
      </c>
      <c r="K40" s="749">
        <v>0</v>
      </c>
      <c r="L40" s="373">
        <f t="shared" ref="L40" si="11">SUM(I40:K40)</f>
        <v>2000</v>
      </c>
      <c r="M40" s="609">
        <f>L40/F40*100</f>
        <v>100</v>
      </c>
      <c r="N40" s="610">
        <f t="shared" si="10"/>
        <v>88.01848388161514</v>
      </c>
      <c r="O40" s="592"/>
      <c r="P40" s="1222"/>
    </row>
    <row r="41" spans="1:16" s="143" customFormat="1" ht="15" customHeight="1" x14ac:dyDescent="0.2">
      <c r="A41" s="613"/>
      <c r="B41" s="1013" t="s">
        <v>133</v>
      </c>
      <c r="C41" s="619" t="s">
        <v>214</v>
      </c>
      <c r="D41" s="199">
        <v>2000</v>
      </c>
      <c r="E41" s="200">
        <v>1968.7367999999999</v>
      </c>
      <c r="F41" s="621">
        <v>2000</v>
      </c>
      <c r="G41" s="604">
        <v>2272.25</v>
      </c>
      <c r="H41" s="605">
        <v>193.04</v>
      </c>
      <c r="I41" s="235">
        <v>0</v>
      </c>
      <c r="J41" s="220">
        <v>2000</v>
      </c>
      <c r="K41" s="204">
        <v>0</v>
      </c>
      <c r="L41" s="164">
        <f t="shared" ref="L41:L48" si="12">SUM(I41:K41)</f>
        <v>2000</v>
      </c>
      <c r="M41" s="606">
        <f>L41/F41*100</f>
        <v>100</v>
      </c>
      <c r="N41" s="607">
        <f t="shared" si="10"/>
        <v>88.01848388161514</v>
      </c>
      <c r="O41" s="593"/>
      <c r="P41" s="1222"/>
    </row>
    <row r="42" spans="1:16" s="20" customFormat="1" ht="15" customHeight="1" x14ac:dyDescent="0.2">
      <c r="A42" s="628">
        <v>3313</v>
      </c>
      <c r="B42" s="1551" t="s">
        <v>341</v>
      </c>
      <c r="C42" s="1552"/>
      <c r="D42" s="625">
        <v>0</v>
      </c>
      <c r="E42" s="626">
        <v>0</v>
      </c>
      <c r="F42" s="622">
        <v>0</v>
      </c>
      <c r="G42" s="498">
        <v>860.5</v>
      </c>
      <c r="H42" s="633">
        <v>60.5</v>
      </c>
      <c r="I42" s="747">
        <v>0</v>
      </c>
      <c r="J42" s="748">
        <v>0</v>
      </c>
      <c r="K42" s="749">
        <v>0</v>
      </c>
      <c r="L42" s="373">
        <f>SUM(I42:K42)</f>
        <v>0</v>
      </c>
      <c r="M42" s="609" t="s">
        <v>71</v>
      </c>
      <c r="N42" s="610">
        <f t="shared" si="10"/>
        <v>0</v>
      </c>
      <c r="P42" s="1222"/>
    </row>
    <row r="43" spans="1:16" s="20" customFormat="1" ht="15" x14ac:dyDescent="0.2">
      <c r="A43" s="628">
        <v>3319</v>
      </c>
      <c r="B43" s="1551" t="s">
        <v>342</v>
      </c>
      <c r="C43" s="1552"/>
      <c r="D43" s="625">
        <v>1000</v>
      </c>
      <c r="E43" s="626">
        <v>3587.1337900000003</v>
      </c>
      <c r="F43" s="622">
        <v>1000</v>
      </c>
      <c r="G43" s="498">
        <v>6089.66</v>
      </c>
      <c r="H43" s="505">
        <v>3600.75</v>
      </c>
      <c r="I43" s="747">
        <v>0</v>
      </c>
      <c r="J43" s="748">
        <v>500</v>
      </c>
      <c r="K43" s="749">
        <v>500</v>
      </c>
      <c r="L43" s="373">
        <f>SUM(I43:K43)</f>
        <v>1000</v>
      </c>
      <c r="M43" s="609">
        <f>L43/F43*100</f>
        <v>100</v>
      </c>
      <c r="N43" s="610">
        <f t="shared" si="10"/>
        <v>16.421278035226926</v>
      </c>
      <c r="P43" s="1222"/>
    </row>
    <row r="44" spans="1:16" s="20" customFormat="1" ht="15" x14ac:dyDescent="0.2">
      <c r="A44" s="628">
        <v>3319</v>
      </c>
      <c r="B44" s="1551" t="s">
        <v>343</v>
      </c>
      <c r="C44" s="1552"/>
      <c r="D44" s="625">
        <v>0</v>
      </c>
      <c r="E44" s="626">
        <v>1500</v>
      </c>
      <c r="F44" s="622">
        <v>0</v>
      </c>
      <c r="G44" s="498">
        <v>0</v>
      </c>
      <c r="H44" s="633">
        <v>0</v>
      </c>
      <c r="I44" s="747">
        <v>0</v>
      </c>
      <c r="J44" s="748">
        <v>0</v>
      </c>
      <c r="K44" s="749">
        <v>0</v>
      </c>
      <c r="L44" s="373">
        <f t="shared" si="12"/>
        <v>0</v>
      </c>
      <c r="M44" s="609" t="s">
        <v>71</v>
      </c>
      <c r="N44" s="610" t="s">
        <v>71</v>
      </c>
      <c r="P44" s="1222"/>
    </row>
    <row r="45" spans="1:16" s="20" customFormat="1" ht="29.25" customHeight="1" x14ac:dyDescent="0.2">
      <c r="A45" s="628">
        <v>3322</v>
      </c>
      <c r="B45" s="1547" t="s">
        <v>345</v>
      </c>
      <c r="C45" s="1548"/>
      <c r="D45" s="625">
        <v>0</v>
      </c>
      <c r="E45" s="626">
        <v>6749.9987499999997</v>
      </c>
      <c r="F45" s="622">
        <v>30000</v>
      </c>
      <c r="G45" s="498">
        <v>56138.62</v>
      </c>
      <c r="H45" s="633">
        <v>10225.459999999999</v>
      </c>
      <c r="I45" s="747">
        <v>0</v>
      </c>
      <c r="J45" s="748">
        <v>30000</v>
      </c>
      <c r="K45" s="749">
        <v>0</v>
      </c>
      <c r="L45" s="373">
        <f t="shared" si="12"/>
        <v>30000</v>
      </c>
      <c r="M45" s="609">
        <f t="shared" ref="M45" si="13">L45/F45*100</f>
        <v>100</v>
      </c>
      <c r="N45" s="610">
        <f t="shared" ref="N45:N47" si="14">L45/G45*100</f>
        <v>53.439147595719305</v>
      </c>
      <c r="P45" s="1222"/>
    </row>
    <row r="46" spans="1:16" s="20" customFormat="1" ht="15" customHeight="1" x14ac:dyDescent="0.2">
      <c r="A46" s="628">
        <v>3322</v>
      </c>
      <c r="B46" s="1551" t="s">
        <v>346</v>
      </c>
      <c r="C46" s="1552"/>
      <c r="D46" s="625">
        <v>0</v>
      </c>
      <c r="E46" s="626">
        <v>3000</v>
      </c>
      <c r="F46" s="622">
        <v>0</v>
      </c>
      <c r="G46" s="498">
        <v>0</v>
      </c>
      <c r="H46" s="505">
        <v>0</v>
      </c>
      <c r="I46" s="747">
        <v>0</v>
      </c>
      <c r="J46" s="748">
        <v>0</v>
      </c>
      <c r="K46" s="749">
        <v>0</v>
      </c>
      <c r="L46" s="373">
        <f t="shared" si="12"/>
        <v>0</v>
      </c>
      <c r="M46" s="609" t="s">
        <v>71</v>
      </c>
      <c r="N46" s="610" t="s">
        <v>71</v>
      </c>
      <c r="P46" s="1222"/>
    </row>
    <row r="47" spans="1:16" s="20" customFormat="1" ht="29.25" customHeight="1" x14ac:dyDescent="0.2">
      <c r="A47" s="628">
        <v>3315</v>
      </c>
      <c r="B47" s="1547" t="s">
        <v>402</v>
      </c>
      <c r="C47" s="1548"/>
      <c r="D47" s="625">
        <v>0</v>
      </c>
      <c r="E47" s="626">
        <v>0</v>
      </c>
      <c r="F47" s="622">
        <v>0</v>
      </c>
      <c r="G47" s="498">
        <v>70</v>
      </c>
      <c r="H47" s="633">
        <v>0</v>
      </c>
      <c r="I47" s="747">
        <v>0</v>
      </c>
      <c r="J47" s="748">
        <v>0</v>
      </c>
      <c r="K47" s="749">
        <v>0</v>
      </c>
      <c r="L47" s="373">
        <f t="shared" si="12"/>
        <v>0</v>
      </c>
      <c r="M47" s="609" t="s">
        <v>71</v>
      </c>
      <c r="N47" s="610">
        <f t="shared" si="14"/>
        <v>0</v>
      </c>
      <c r="P47" s="1222"/>
    </row>
    <row r="48" spans="1:16" s="20" customFormat="1" ht="30" customHeight="1" thickBot="1" x14ac:dyDescent="0.25">
      <c r="A48" s="634">
        <v>3319</v>
      </c>
      <c r="B48" s="1547" t="s">
        <v>347</v>
      </c>
      <c r="C48" s="1548"/>
      <c r="D48" s="635">
        <v>0</v>
      </c>
      <c r="E48" s="636">
        <v>1131.3499999999999</v>
      </c>
      <c r="F48" s="637">
        <v>0</v>
      </c>
      <c r="G48" s="523">
        <v>0</v>
      </c>
      <c r="H48" s="638">
        <v>0</v>
      </c>
      <c r="I48" s="750">
        <v>0</v>
      </c>
      <c r="J48" s="751">
        <v>0</v>
      </c>
      <c r="K48" s="752">
        <v>0</v>
      </c>
      <c r="L48" s="753">
        <f t="shared" si="12"/>
        <v>0</v>
      </c>
      <c r="M48" s="609" t="s">
        <v>71</v>
      </c>
      <c r="N48" s="610" t="s">
        <v>71</v>
      </c>
      <c r="P48" s="1222"/>
    </row>
    <row r="49" spans="1:16" s="22" customFormat="1" ht="20.100000000000001" customHeight="1" thickBot="1" x14ac:dyDescent="0.3">
      <c r="A49" s="963"/>
      <c r="B49" s="1005" t="s">
        <v>99</v>
      </c>
      <c r="C49" s="1011"/>
      <c r="D49" s="956">
        <f>D9+D13+D17+D22+D25+D31+D32+D33+D34+D35+D40+D42+D43+D44+D24+D45+D46+D47+D48+D23</f>
        <v>344465</v>
      </c>
      <c r="E49" s="997">
        <f>E9+E13+E17+E22+E25+E31+E32+E33+E34+E35+E40+E42+E43+E44+E24+E45+E46+E47+E48+E23</f>
        <v>392903.47024</v>
      </c>
      <c r="F49" s="976">
        <f>F9+F13+F17+F22+F25+F31+F32+F33+F34+F35+F40+F42+F43+F44+F24+F45+F46+F47+F48+F23</f>
        <v>380169</v>
      </c>
      <c r="G49" s="1006">
        <f>+G9+G13+G17+G21+G22+G23+G25+G31+G32+G33+G34+G35+G40+G42+G43+G24+G44+G45+G46+G47+G48</f>
        <v>439676.34</v>
      </c>
      <c r="H49" s="1006">
        <f>+H9+H13+H17+H21+H22+H23+H25+H31+H32+H33+H34+H35+H40+H42+H43+H24+H44+H45+H46+H47+H48</f>
        <v>292033.97000000003</v>
      </c>
      <c r="I49" s="1008">
        <f>I9+I13+I17+I22+I25+I31+I32+I33+I34+I35+I40+I42+I43+I44+I24+I45+I46+I47+I48+I23</f>
        <v>292298</v>
      </c>
      <c r="J49" s="1009">
        <f>J9+J13+J17+J22+J25+J31+J32+J33+J34+J35+J40+J42+J43+J44+J24+J45+J46+J47+J48+J23</f>
        <v>75123</v>
      </c>
      <c r="K49" s="1012">
        <f>K9+K13+K17+K22+K25+K31+K32+K33+K34+K35+K40+K42+K43+K44+K24+K45+K46+K47+K48+K23</f>
        <v>28465</v>
      </c>
      <c r="L49" s="754">
        <f>L9+L13+L17+L22+L25+L31+L32+L33+L34+L35+L40+L42+L43+L44+L24+L45+L46+L47+L48+L23</f>
        <v>395886</v>
      </c>
      <c r="M49" s="977">
        <f>L49/F49*100</f>
        <v>104.13421399430254</v>
      </c>
      <c r="N49" s="962">
        <f>L49/G49*100</f>
        <v>90.040323752694988</v>
      </c>
      <c r="P49" s="1223"/>
    </row>
    <row r="50" spans="1:16" ht="15" customHeight="1" x14ac:dyDescent="0.25">
      <c r="A50" s="23"/>
      <c r="B50" s="23"/>
      <c r="C50" s="23"/>
      <c r="D50" s="910"/>
      <c r="E50" s="909"/>
      <c r="F50" s="910"/>
      <c r="G50" s="913"/>
      <c r="H50" s="913"/>
      <c r="I50" s="237"/>
      <c r="J50" s="237"/>
      <c r="K50" s="913"/>
      <c r="L50" s="237"/>
      <c r="M50" s="28"/>
      <c r="N50" s="29"/>
    </row>
    <row r="51" spans="1:16" ht="15" customHeight="1" x14ac:dyDescent="0.25">
      <c r="A51" s="23"/>
      <c r="B51" s="23"/>
      <c r="C51" s="23"/>
      <c r="D51" s="910"/>
      <c r="E51" s="909"/>
      <c r="F51" s="910"/>
      <c r="G51" s="909"/>
      <c r="H51" s="909"/>
      <c r="I51" s="910"/>
      <c r="J51" s="910"/>
      <c r="K51" s="910"/>
      <c r="L51" s="910"/>
      <c r="M51" s="28"/>
      <c r="N51" s="29"/>
    </row>
    <row r="52" spans="1:16" ht="15" customHeight="1" x14ac:dyDescent="0.25">
      <c r="A52" s="23"/>
      <c r="B52" s="23"/>
      <c r="C52" s="23"/>
      <c r="D52" s="24"/>
      <c r="E52" s="25"/>
      <c r="F52" s="24"/>
      <c r="G52" s="26"/>
      <c r="H52" s="26"/>
      <c r="I52" s="27"/>
      <c r="J52" s="27"/>
      <c r="K52" s="27"/>
      <c r="L52" s="27"/>
      <c r="M52" s="28"/>
      <c r="N52" s="29"/>
    </row>
    <row r="53" spans="1:16" ht="15.75" x14ac:dyDescent="0.2">
      <c r="A53" s="596"/>
      <c r="B53" s="597"/>
      <c r="C53" s="597"/>
      <c r="D53" s="598"/>
      <c r="E53" s="598"/>
      <c r="F53" s="598"/>
      <c r="G53" s="598"/>
      <c r="H53" s="598"/>
      <c r="I53" s="598"/>
      <c r="J53" s="598"/>
      <c r="K53" s="599"/>
    </row>
    <row r="54" spans="1:16" ht="15" x14ac:dyDescent="0.2">
      <c r="A54" s="596"/>
      <c r="B54" s="241"/>
      <c r="C54" s="241"/>
      <c r="D54" s="598"/>
      <c r="E54" s="598"/>
      <c r="F54" s="598"/>
      <c r="G54" s="598"/>
      <c r="H54" s="598"/>
      <c r="I54" s="598"/>
      <c r="J54" s="598"/>
      <c r="K54" s="594"/>
    </row>
    <row r="56" spans="1:16" x14ac:dyDescent="0.2">
      <c r="D56" s="3"/>
      <c r="F56" s="3"/>
      <c r="I56" s="3"/>
      <c r="J56" s="3"/>
      <c r="K56" s="3"/>
      <c r="L56" s="3"/>
      <c r="M56" s="3"/>
    </row>
    <row r="57" spans="1:16" x14ac:dyDescent="0.2">
      <c r="D57" s="3"/>
      <c r="F57" s="3"/>
      <c r="I57" s="3"/>
      <c r="J57" s="3"/>
      <c r="K57" s="3"/>
      <c r="L57" s="3"/>
      <c r="M57" s="3"/>
    </row>
    <row r="58" spans="1:16" x14ac:dyDescent="0.2">
      <c r="D58" s="3"/>
      <c r="F58" s="3"/>
      <c r="I58" s="3"/>
      <c r="J58" s="3"/>
      <c r="K58" s="3"/>
      <c r="L58" s="3"/>
      <c r="M58" s="3"/>
    </row>
    <row r="71" spans="4:14" ht="15.75" x14ac:dyDescent="0.25">
      <c r="D71" s="600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mergeCells count="39">
    <mergeCell ref="A25:A30"/>
    <mergeCell ref="B23:C23"/>
    <mergeCell ref="B25:C25"/>
    <mergeCell ref="B48:C48"/>
    <mergeCell ref="B42:C42"/>
    <mergeCell ref="B43:C43"/>
    <mergeCell ref="B44:C44"/>
    <mergeCell ref="B24:C24"/>
    <mergeCell ref="B45:C45"/>
    <mergeCell ref="B46:C46"/>
    <mergeCell ref="B47:C47"/>
    <mergeCell ref="B35:C35"/>
    <mergeCell ref="B40:C40"/>
    <mergeCell ref="B36:B39"/>
    <mergeCell ref="A2:N2"/>
    <mergeCell ref="G4:H4"/>
    <mergeCell ref="N6:N7"/>
    <mergeCell ref="B6:C7"/>
    <mergeCell ref="M6:M7"/>
    <mergeCell ref="A6:A7"/>
    <mergeCell ref="D6:E6"/>
    <mergeCell ref="F6:H6"/>
    <mergeCell ref="I6:L6"/>
    <mergeCell ref="A9:A12"/>
    <mergeCell ref="B31:C31"/>
    <mergeCell ref="B32:C32"/>
    <mergeCell ref="B33:C33"/>
    <mergeCell ref="B34:C34"/>
    <mergeCell ref="B9:C9"/>
    <mergeCell ref="B13:C13"/>
    <mergeCell ref="B17:C17"/>
    <mergeCell ref="B21:C21"/>
    <mergeCell ref="B22:C22"/>
    <mergeCell ref="B10:B12"/>
    <mergeCell ref="B14:B16"/>
    <mergeCell ref="B18:B20"/>
    <mergeCell ref="B26:B30"/>
    <mergeCell ref="A13:A16"/>
    <mergeCell ref="A17:A20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/>
  </sheetViews>
  <sheetFormatPr defaultRowHeight="12.75" x14ac:dyDescent="0.2"/>
  <cols>
    <col min="1" max="1" width="7.7109375" style="1" customWidth="1"/>
    <col min="2" max="2" width="6.7109375" style="1" customWidth="1"/>
    <col min="3" max="3" width="40.7109375" style="2" customWidth="1"/>
    <col min="4" max="4" width="14.7109375" style="3" customWidth="1"/>
    <col min="5" max="5" width="14.7109375" style="2" customWidth="1"/>
    <col min="6" max="7" width="14.7109375" style="3" customWidth="1"/>
    <col min="8" max="9" width="14.7109375" style="2" customWidth="1"/>
    <col min="10" max="10" width="15.5703125" style="2" customWidth="1"/>
    <col min="11" max="11" width="14.7109375" style="4" customWidth="1"/>
    <col min="12" max="12" width="14.7109375" style="5" customWidth="1"/>
    <col min="13" max="13" width="9.7109375" style="5" customWidth="1"/>
    <col min="14" max="14" width="9.7109375" style="1" customWidth="1"/>
    <col min="15" max="15" width="9.140625" style="148"/>
    <col min="16" max="16" width="9.85546875" style="1" bestFit="1" customWidth="1"/>
    <col min="17" max="256" width="9.140625" style="1"/>
    <col min="257" max="257" width="6.7109375" style="1" customWidth="1"/>
    <col min="258" max="258" width="41.5703125" style="1" customWidth="1"/>
    <col min="259" max="259" width="14.7109375" style="1" customWidth="1"/>
    <col min="260" max="260" width="18.85546875" style="1" customWidth="1"/>
    <col min="261" max="266" width="14.7109375" style="1" customWidth="1"/>
    <col min="267" max="267" width="16.7109375" style="1" customWidth="1"/>
    <col min="268" max="268" width="10" style="1" customWidth="1"/>
    <col min="269" max="269" width="7.42578125" style="1" customWidth="1"/>
    <col min="270" max="512" width="9.140625" style="1"/>
    <col min="513" max="513" width="6.7109375" style="1" customWidth="1"/>
    <col min="514" max="514" width="41.5703125" style="1" customWidth="1"/>
    <col min="515" max="515" width="14.7109375" style="1" customWidth="1"/>
    <col min="516" max="516" width="18.85546875" style="1" customWidth="1"/>
    <col min="517" max="522" width="14.7109375" style="1" customWidth="1"/>
    <col min="523" max="523" width="16.7109375" style="1" customWidth="1"/>
    <col min="524" max="524" width="10" style="1" customWidth="1"/>
    <col min="525" max="525" width="7.42578125" style="1" customWidth="1"/>
    <col min="526" max="768" width="9.140625" style="1"/>
    <col min="769" max="769" width="6.7109375" style="1" customWidth="1"/>
    <col min="770" max="770" width="41.5703125" style="1" customWidth="1"/>
    <col min="771" max="771" width="14.7109375" style="1" customWidth="1"/>
    <col min="772" max="772" width="18.85546875" style="1" customWidth="1"/>
    <col min="773" max="778" width="14.7109375" style="1" customWidth="1"/>
    <col min="779" max="779" width="16.7109375" style="1" customWidth="1"/>
    <col min="780" max="780" width="10" style="1" customWidth="1"/>
    <col min="781" max="781" width="7.42578125" style="1" customWidth="1"/>
    <col min="782" max="1024" width="9.140625" style="1"/>
    <col min="1025" max="1025" width="6.7109375" style="1" customWidth="1"/>
    <col min="1026" max="1026" width="41.5703125" style="1" customWidth="1"/>
    <col min="1027" max="1027" width="14.7109375" style="1" customWidth="1"/>
    <col min="1028" max="1028" width="18.85546875" style="1" customWidth="1"/>
    <col min="1029" max="1034" width="14.7109375" style="1" customWidth="1"/>
    <col min="1035" max="1035" width="16.7109375" style="1" customWidth="1"/>
    <col min="1036" max="1036" width="10" style="1" customWidth="1"/>
    <col min="1037" max="1037" width="7.42578125" style="1" customWidth="1"/>
    <col min="1038" max="1280" width="9.140625" style="1"/>
    <col min="1281" max="1281" width="6.7109375" style="1" customWidth="1"/>
    <col min="1282" max="1282" width="41.5703125" style="1" customWidth="1"/>
    <col min="1283" max="1283" width="14.7109375" style="1" customWidth="1"/>
    <col min="1284" max="1284" width="18.85546875" style="1" customWidth="1"/>
    <col min="1285" max="1290" width="14.7109375" style="1" customWidth="1"/>
    <col min="1291" max="1291" width="16.7109375" style="1" customWidth="1"/>
    <col min="1292" max="1292" width="10" style="1" customWidth="1"/>
    <col min="1293" max="1293" width="7.42578125" style="1" customWidth="1"/>
    <col min="1294" max="1536" width="9.140625" style="1"/>
    <col min="1537" max="1537" width="6.7109375" style="1" customWidth="1"/>
    <col min="1538" max="1538" width="41.5703125" style="1" customWidth="1"/>
    <col min="1539" max="1539" width="14.7109375" style="1" customWidth="1"/>
    <col min="1540" max="1540" width="18.85546875" style="1" customWidth="1"/>
    <col min="1541" max="1546" width="14.7109375" style="1" customWidth="1"/>
    <col min="1547" max="1547" width="16.7109375" style="1" customWidth="1"/>
    <col min="1548" max="1548" width="10" style="1" customWidth="1"/>
    <col min="1549" max="1549" width="7.42578125" style="1" customWidth="1"/>
    <col min="1550" max="1792" width="9.140625" style="1"/>
    <col min="1793" max="1793" width="6.7109375" style="1" customWidth="1"/>
    <col min="1794" max="1794" width="41.5703125" style="1" customWidth="1"/>
    <col min="1795" max="1795" width="14.7109375" style="1" customWidth="1"/>
    <col min="1796" max="1796" width="18.85546875" style="1" customWidth="1"/>
    <col min="1797" max="1802" width="14.7109375" style="1" customWidth="1"/>
    <col min="1803" max="1803" width="16.7109375" style="1" customWidth="1"/>
    <col min="1804" max="1804" width="10" style="1" customWidth="1"/>
    <col min="1805" max="1805" width="7.42578125" style="1" customWidth="1"/>
    <col min="1806" max="2048" width="9.140625" style="1"/>
    <col min="2049" max="2049" width="6.7109375" style="1" customWidth="1"/>
    <col min="2050" max="2050" width="41.5703125" style="1" customWidth="1"/>
    <col min="2051" max="2051" width="14.7109375" style="1" customWidth="1"/>
    <col min="2052" max="2052" width="18.85546875" style="1" customWidth="1"/>
    <col min="2053" max="2058" width="14.7109375" style="1" customWidth="1"/>
    <col min="2059" max="2059" width="16.7109375" style="1" customWidth="1"/>
    <col min="2060" max="2060" width="10" style="1" customWidth="1"/>
    <col min="2061" max="2061" width="7.42578125" style="1" customWidth="1"/>
    <col min="2062" max="2304" width="9.140625" style="1"/>
    <col min="2305" max="2305" width="6.7109375" style="1" customWidth="1"/>
    <col min="2306" max="2306" width="41.5703125" style="1" customWidth="1"/>
    <col min="2307" max="2307" width="14.7109375" style="1" customWidth="1"/>
    <col min="2308" max="2308" width="18.85546875" style="1" customWidth="1"/>
    <col min="2309" max="2314" width="14.7109375" style="1" customWidth="1"/>
    <col min="2315" max="2315" width="16.7109375" style="1" customWidth="1"/>
    <col min="2316" max="2316" width="10" style="1" customWidth="1"/>
    <col min="2317" max="2317" width="7.42578125" style="1" customWidth="1"/>
    <col min="2318" max="2560" width="9.140625" style="1"/>
    <col min="2561" max="2561" width="6.7109375" style="1" customWidth="1"/>
    <col min="2562" max="2562" width="41.5703125" style="1" customWidth="1"/>
    <col min="2563" max="2563" width="14.7109375" style="1" customWidth="1"/>
    <col min="2564" max="2564" width="18.85546875" style="1" customWidth="1"/>
    <col min="2565" max="2570" width="14.7109375" style="1" customWidth="1"/>
    <col min="2571" max="2571" width="16.7109375" style="1" customWidth="1"/>
    <col min="2572" max="2572" width="10" style="1" customWidth="1"/>
    <col min="2573" max="2573" width="7.42578125" style="1" customWidth="1"/>
    <col min="2574" max="2816" width="9.140625" style="1"/>
    <col min="2817" max="2817" width="6.7109375" style="1" customWidth="1"/>
    <col min="2818" max="2818" width="41.5703125" style="1" customWidth="1"/>
    <col min="2819" max="2819" width="14.7109375" style="1" customWidth="1"/>
    <col min="2820" max="2820" width="18.85546875" style="1" customWidth="1"/>
    <col min="2821" max="2826" width="14.7109375" style="1" customWidth="1"/>
    <col min="2827" max="2827" width="16.7109375" style="1" customWidth="1"/>
    <col min="2828" max="2828" width="10" style="1" customWidth="1"/>
    <col min="2829" max="2829" width="7.42578125" style="1" customWidth="1"/>
    <col min="2830" max="3072" width="9.140625" style="1"/>
    <col min="3073" max="3073" width="6.7109375" style="1" customWidth="1"/>
    <col min="3074" max="3074" width="41.5703125" style="1" customWidth="1"/>
    <col min="3075" max="3075" width="14.7109375" style="1" customWidth="1"/>
    <col min="3076" max="3076" width="18.85546875" style="1" customWidth="1"/>
    <col min="3077" max="3082" width="14.7109375" style="1" customWidth="1"/>
    <col min="3083" max="3083" width="16.7109375" style="1" customWidth="1"/>
    <col min="3084" max="3084" width="10" style="1" customWidth="1"/>
    <col min="3085" max="3085" width="7.42578125" style="1" customWidth="1"/>
    <col min="3086" max="3328" width="9.140625" style="1"/>
    <col min="3329" max="3329" width="6.7109375" style="1" customWidth="1"/>
    <col min="3330" max="3330" width="41.5703125" style="1" customWidth="1"/>
    <col min="3331" max="3331" width="14.7109375" style="1" customWidth="1"/>
    <col min="3332" max="3332" width="18.85546875" style="1" customWidth="1"/>
    <col min="3333" max="3338" width="14.7109375" style="1" customWidth="1"/>
    <col min="3339" max="3339" width="16.7109375" style="1" customWidth="1"/>
    <col min="3340" max="3340" width="10" style="1" customWidth="1"/>
    <col min="3341" max="3341" width="7.42578125" style="1" customWidth="1"/>
    <col min="3342" max="3584" width="9.140625" style="1"/>
    <col min="3585" max="3585" width="6.7109375" style="1" customWidth="1"/>
    <col min="3586" max="3586" width="41.5703125" style="1" customWidth="1"/>
    <col min="3587" max="3587" width="14.7109375" style="1" customWidth="1"/>
    <col min="3588" max="3588" width="18.85546875" style="1" customWidth="1"/>
    <col min="3589" max="3594" width="14.7109375" style="1" customWidth="1"/>
    <col min="3595" max="3595" width="16.7109375" style="1" customWidth="1"/>
    <col min="3596" max="3596" width="10" style="1" customWidth="1"/>
    <col min="3597" max="3597" width="7.42578125" style="1" customWidth="1"/>
    <col min="3598" max="3840" width="9.140625" style="1"/>
    <col min="3841" max="3841" width="6.7109375" style="1" customWidth="1"/>
    <col min="3842" max="3842" width="41.5703125" style="1" customWidth="1"/>
    <col min="3843" max="3843" width="14.7109375" style="1" customWidth="1"/>
    <col min="3844" max="3844" width="18.85546875" style="1" customWidth="1"/>
    <col min="3845" max="3850" width="14.7109375" style="1" customWidth="1"/>
    <col min="3851" max="3851" width="16.7109375" style="1" customWidth="1"/>
    <col min="3852" max="3852" width="10" style="1" customWidth="1"/>
    <col min="3853" max="3853" width="7.42578125" style="1" customWidth="1"/>
    <col min="3854" max="4096" width="9.140625" style="1"/>
    <col min="4097" max="4097" width="6.7109375" style="1" customWidth="1"/>
    <col min="4098" max="4098" width="41.5703125" style="1" customWidth="1"/>
    <col min="4099" max="4099" width="14.7109375" style="1" customWidth="1"/>
    <col min="4100" max="4100" width="18.85546875" style="1" customWidth="1"/>
    <col min="4101" max="4106" width="14.7109375" style="1" customWidth="1"/>
    <col min="4107" max="4107" width="16.7109375" style="1" customWidth="1"/>
    <col min="4108" max="4108" width="10" style="1" customWidth="1"/>
    <col min="4109" max="4109" width="7.42578125" style="1" customWidth="1"/>
    <col min="4110" max="4352" width="9.140625" style="1"/>
    <col min="4353" max="4353" width="6.7109375" style="1" customWidth="1"/>
    <col min="4354" max="4354" width="41.5703125" style="1" customWidth="1"/>
    <col min="4355" max="4355" width="14.7109375" style="1" customWidth="1"/>
    <col min="4356" max="4356" width="18.85546875" style="1" customWidth="1"/>
    <col min="4357" max="4362" width="14.7109375" style="1" customWidth="1"/>
    <col min="4363" max="4363" width="16.7109375" style="1" customWidth="1"/>
    <col min="4364" max="4364" width="10" style="1" customWidth="1"/>
    <col min="4365" max="4365" width="7.42578125" style="1" customWidth="1"/>
    <col min="4366" max="4608" width="9.140625" style="1"/>
    <col min="4609" max="4609" width="6.7109375" style="1" customWidth="1"/>
    <col min="4610" max="4610" width="41.5703125" style="1" customWidth="1"/>
    <col min="4611" max="4611" width="14.7109375" style="1" customWidth="1"/>
    <col min="4612" max="4612" width="18.85546875" style="1" customWidth="1"/>
    <col min="4613" max="4618" width="14.7109375" style="1" customWidth="1"/>
    <col min="4619" max="4619" width="16.7109375" style="1" customWidth="1"/>
    <col min="4620" max="4620" width="10" style="1" customWidth="1"/>
    <col min="4621" max="4621" width="7.42578125" style="1" customWidth="1"/>
    <col min="4622" max="4864" width="9.140625" style="1"/>
    <col min="4865" max="4865" width="6.7109375" style="1" customWidth="1"/>
    <col min="4866" max="4866" width="41.5703125" style="1" customWidth="1"/>
    <col min="4867" max="4867" width="14.7109375" style="1" customWidth="1"/>
    <col min="4868" max="4868" width="18.85546875" style="1" customWidth="1"/>
    <col min="4869" max="4874" width="14.7109375" style="1" customWidth="1"/>
    <col min="4875" max="4875" width="16.7109375" style="1" customWidth="1"/>
    <col min="4876" max="4876" width="10" style="1" customWidth="1"/>
    <col min="4877" max="4877" width="7.42578125" style="1" customWidth="1"/>
    <col min="4878" max="5120" width="9.140625" style="1"/>
    <col min="5121" max="5121" width="6.7109375" style="1" customWidth="1"/>
    <col min="5122" max="5122" width="41.5703125" style="1" customWidth="1"/>
    <col min="5123" max="5123" width="14.7109375" style="1" customWidth="1"/>
    <col min="5124" max="5124" width="18.85546875" style="1" customWidth="1"/>
    <col min="5125" max="5130" width="14.7109375" style="1" customWidth="1"/>
    <col min="5131" max="5131" width="16.7109375" style="1" customWidth="1"/>
    <col min="5132" max="5132" width="10" style="1" customWidth="1"/>
    <col min="5133" max="5133" width="7.42578125" style="1" customWidth="1"/>
    <col min="5134" max="5376" width="9.140625" style="1"/>
    <col min="5377" max="5377" width="6.7109375" style="1" customWidth="1"/>
    <col min="5378" max="5378" width="41.5703125" style="1" customWidth="1"/>
    <col min="5379" max="5379" width="14.7109375" style="1" customWidth="1"/>
    <col min="5380" max="5380" width="18.85546875" style="1" customWidth="1"/>
    <col min="5381" max="5386" width="14.7109375" style="1" customWidth="1"/>
    <col min="5387" max="5387" width="16.7109375" style="1" customWidth="1"/>
    <col min="5388" max="5388" width="10" style="1" customWidth="1"/>
    <col min="5389" max="5389" width="7.42578125" style="1" customWidth="1"/>
    <col min="5390" max="5632" width="9.140625" style="1"/>
    <col min="5633" max="5633" width="6.7109375" style="1" customWidth="1"/>
    <col min="5634" max="5634" width="41.5703125" style="1" customWidth="1"/>
    <col min="5635" max="5635" width="14.7109375" style="1" customWidth="1"/>
    <col min="5636" max="5636" width="18.85546875" style="1" customWidth="1"/>
    <col min="5637" max="5642" width="14.7109375" style="1" customWidth="1"/>
    <col min="5643" max="5643" width="16.7109375" style="1" customWidth="1"/>
    <col min="5644" max="5644" width="10" style="1" customWidth="1"/>
    <col min="5645" max="5645" width="7.42578125" style="1" customWidth="1"/>
    <col min="5646" max="5888" width="9.140625" style="1"/>
    <col min="5889" max="5889" width="6.7109375" style="1" customWidth="1"/>
    <col min="5890" max="5890" width="41.5703125" style="1" customWidth="1"/>
    <col min="5891" max="5891" width="14.7109375" style="1" customWidth="1"/>
    <col min="5892" max="5892" width="18.85546875" style="1" customWidth="1"/>
    <col min="5893" max="5898" width="14.7109375" style="1" customWidth="1"/>
    <col min="5899" max="5899" width="16.7109375" style="1" customWidth="1"/>
    <col min="5900" max="5900" width="10" style="1" customWidth="1"/>
    <col min="5901" max="5901" width="7.42578125" style="1" customWidth="1"/>
    <col min="5902" max="6144" width="9.140625" style="1"/>
    <col min="6145" max="6145" width="6.7109375" style="1" customWidth="1"/>
    <col min="6146" max="6146" width="41.5703125" style="1" customWidth="1"/>
    <col min="6147" max="6147" width="14.7109375" style="1" customWidth="1"/>
    <col min="6148" max="6148" width="18.85546875" style="1" customWidth="1"/>
    <col min="6149" max="6154" width="14.7109375" style="1" customWidth="1"/>
    <col min="6155" max="6155" width="16.7109375" style="1" customWidth="1"/>
    <col min="6156" max="6156" width="10" style="1" customWidth="1"/>
    <col min="6157" max="6157" width="7.42578125" style="1" customWidth="1"/>
    <col min="6158" max="6400" width="9.140625" style="1"/>
    <col min="6401" max="6401" width="6.7109375" style="1" customWidth="1"/>
    <col min="6402" max="6402" width="41.5703125" style="1" customWidth="1"/>
    <col min="6403" max="6403" width="14.7109375" style="1" customWidth="1"/>
    <col min="6404" max="6404" width="18.85546875" style="1" customWidth="1"/>
    <col min="6405" max="6410" width="14.7109375" style="1" customWidth="1"/>
    <col min="6411" max="6411" width="16.7109375" style="1" customWidth="1"/>
    <col min="6412" max="6412" width="10" style="1" customWidth="1"/>
    <col min="6413" max="6413" width="7.42578125" style="1" customWidth="1"/>
    <col min="6414" max="6656" width="9.140625" style="1"/>
    <col min="6657" max="6657" width="6.7109375" style="1" customWidth="1"/>
    <col min="6658" max="6658" width="41.5703125" style="1" customWidth="1"/>
    <col min="6659" max="6659" width="14.7109375" style="1" customWidth="1"/>
    <col min="6660" max="6660" width="18.85546875" style="1" customWidth="1"/>
    <col min="6661" max="6666" width="14.7109375" style="1" customWidth="1"/>
    <col min="6667" max="6667" width="16.7109375" style="1" customWidth="1"/>
    <col min="6668" max="6668" width="10" style="1" customWidth="1"/>
    <col min="6669" max="6669" width="7.42578125" style="1" customWidth="1"/>
    <col min="6670" max="6912" width="9.140625" style="1"/>
    <col min="6913" max="6913" width="6.7109375" style="1" customWidth="1"/>
    <col min="6914" max="6914" width="41.5703125" style="1" customWidth="1"/>
    <col min="6915" max="6915" width="14.7109375" style="1" customWidth="1"/>
    <col min="6916" max="6916" width="18.85546875" style="1" customWidth="1"/>
    <col min="6917" max="6922" width="14.7109375" style="1" customWidth="1"/>
    <col min="6923" max="6923" width="16.7109375" style="1" customWidth="1"/>
    <col min="6924" max="6924" width="10" style="1" customWidth="1"/>
    <col min="6925" max="6925" width="7.42578125" style="1" customWidth="1"/>
    <col min="6926" max="7168" width="9.140625" style="1"/>
    <col min="7169" max="7169" width="6.7109375" style="1" customWidth="1"/>
    <col min="7170" max="7170" width="41.5703125" style="1" customWidth="1"/>
    <col min="7171" max="7171" width="14.7109375" style="1" customWidth="1"/>
    <col min="7172" max="7172" width="18.85546875" style="1" customWidth="1"/>
    <col min="7173" max="7178" width="14.7109375" style="1" customWidth="1"/>
    <col min="7179" max="7179" width="16.7109375" style="1" customWidth="1"/>
    <col min="7180" max="7180" width="10" style="1" customWidth="1"/>
    <col min="7181" max="7181" width="7.42578125" style="1" customWidth="1"/>
    <col min="7182" max="7424" width="9.140625" style="1"/>
    <col min="7425" max="7425" width="6.7109375" style="1" customWidth="1"/>
    <col min="7426" max="7426" width="41.5703125" style="1" customWidth="1"/>
    <col min="7427" max="7427" width="14.7109375" style="1" customWidth="1"/>
    <col min="7428" max="7428" width="18.85546875" style="1" customWidth="1"/>
    <col min="7429" max="7434" width="14.7109375" style="1" customWidth="1"/>
    <col min="7435" max="7435" width="16.7109375" style="1" customWidth="1"/>
    <col min="7436" max="7436" width="10" style="1" customWidth="1"/>
    <col min="7437" max="7437" width="7.42578125" style="1" customWidth="1"/>
    <col min="7438" max="7680" width="9.140625" style="1"/>
    <col min="7681" max="7681" width="6.7109375" style="1" customWidth="1"/>
    <col min="7682" max="7682" width="41.5703125" style="1" customWidth="1"/>
    <col min="7683" max="7683" width="14.7109375" style="1" customWidth="1"/>
    <col min="7684" max="7684" width="18.85546875" style="1" customWidth="1"/>
    <col min="7685" max="7690" width="14.7109375" style="1" customWidth="1"/>
    <col min="7691" max="7691" width="16.7109375" style="1" customWidth="1"/>
    <col min="7692" max="7692" width="10" style="1" customWidth="1"/>
    <col min="7693" max="7693" width="7.42578125" style="1" customWidth="1"/>
    <col min="7694" max="7936" width="9.140625" style="1"/>
    <col min="7937" max="7937" width="6.7109375" style="1" customWidth="1"/>
    <col min="7938" max="7938" width="41.5703125" style="1" customWidth="1"/>
    <col min="7939" max="7939" width="14.7109375" style="1" customWidth="1"/>
    <col min="7940" max="7940" width="18.85546875" style="1" customWidth="1"/>
    <col min="7941" max="7946" width="14.7109375" style="1" customWidth="1"/>
    <col min="7947" max="7947" width="16.7109375" style="1" customWidth="1"/>
    <col min="7948" max="7948" width="10" style="1" customWidth="1"/>
    <col min="7949" max="7949" width="7.42578125" style="1" customWidth="1"/>
    <col min="7950" max="8192" width="9.140625" style="1"/>
    <col min="8193" max="8193" width="6.7109375" style="1" customWidth="1"/>
    <col min="8194" max="8194" width="41.5703125" style="1" customWidth="1"/>
    <col min="8195" max="8195" width="14.7109375" style="1" customWidth="1"/>
    <col min="8196" max="8196" width="18.85546875" style="1" customWidth="1"/>
    <col min="8197" max="8202" width="14.7109375" style="1" customWidth="1"/>
    <col min="8203" max="8203" width="16.7109375" style="1" customWidth="1"/>
    <col min="8204" max="8204" width="10" style="1" customWidth="1"/>
    <col min="8205" max="8205" width="7.42578125" style="1" customWidth="1"/>
    <col min="8206" max="8448" width="9.140625" style="1"/>
    <col min="8449" max="8449" width="6.7109375" style="1" customWidth="1"/>
    <col min="8450" max="8450" width="41.5703125" style="1" customWidth="1"/>
    <col min="8451" max="8451" width="14.7109375" style="1" customWidth="1"/>
    <col min="8452" max="8452" width="18.85546875" style="1" customWidth="1"/>
    <col min="8453" max="8458" width="14.7109375" style="1" customWidth="1"/>
    <col min="8459" max="8459" width="16.7109375" style="1" customWidth="1"/>
    <col min="8460" max="8460" width="10" style="1" customWidth="1"/>
    <col min="8461" max="8461" width="7.42578125" style="1" customWidth="1"/>
    <col min="8462" max="8704" width="9.140625" style="1"/>
    <col min="8705" max="8705" width="6.7109375" style="1" customWidth="1"/>
    <col min="8706" max="8706" width="41.5703125" style="1" customWidth="1"/>
    <col min="8707" max="8707" width="14.7109375" style="1" customWidth="1"/>
    <col min="8708" max="8708" width="18.85546875" style="1" customWidth="1"/>
    <col min="8709" max="8714" width="14.7109375" style="1" customWidth="1"/>
    <col min="8715" max="8715" width="16.7109375" style="1" customWidth="1"/>
    <col min="8716" max="8716" width="10" style="1" customWidth="1"/>
    <col min="8717" max="8717" width="7.42578125" style="1" customWidth="1"/>
    <col min="8718" max="8960" width="9.140625" style="1"/>
    <col min="8961" max="8961" width="6.7109375" style="1" customWidth="1"/>
    <col min="8962" max="8962" width="41.5703125" style="1" customWidth="1"/>
    <col min="8963" max="8963" width="14.7109375" style="1" customWidth="1"/>
    <col min="8964" max="8964" width="18.85546875" style="1" customWidth="1"/>
    <col min="8965" max="8970" width="14.7109375" style="1" customWidth="1"/>
    <col min="8971" max="8971" width="16.7109375" style="1" customWidth="1"/>
    <col min="8972" max="8972" width="10" style="1" customWidth="1"/>
    <col min="8973" max="8973" width="7.42578125" style="1" customWidth="1"/>
    <col min="8974" max="9216" width="9.140625" style="1"/>
    <col min="9217" max="9217" width="6.7109375" style="1" customWidth="1"/>
    <col min="9218" max="9218" width="41.5703125" style="1" customWidth="1"/>
    <col min="9219" max="9219" width="14.7109375" style="1" customWidth="1"/>
    <col min="9220" max="9220" width="18.85546875" style="1" customWidth="1"/>
    <col min="9221" max="9226" width="14.7109375" style="1" customWidth="1"/>
    <col min="9227" max="9227" width="16.7109375" style="1" customWidth="1"/>
    <col min="9228" max="9228" width="10" style="1" customWidth="1"/>
    <col min="9229" max="9229" width="7.42578125" style="1" customWidth="1"/>
    <col min="9230" max="9472" width="9.140625" style="1"/>
    <col min="9473" max="9473" width="6.7109375" style="1" customWidth="1"/>
    <col min="9474" max="9474" width="41.5703125" style="1" customWidth="1"/>
    <col min="9475" max="9475" width="14.7109375" style="1" customWidth="1"/>
    <col min="9476" max="9476" width="18.85546875" style="1" customWidth="1"/>
    <col min="9477" max="9482" width="14.7109375" style="1" customWidth="1"/>
    <col min="9483" max="9483" width="16.7109375" style="1" customWidth="1"/>
    <col min="9484" max="9484" width="10" style="1" customWidth="1"/>
    <col min="9485" max="9485" width="7.42578125" style="1" customWidth="1"/>
    <col min="9486" max="9728" width="9.140625" style="1"/>
    <col min="9729" max="9729" width="6.7109375" style="1" customWidth="1"/>
    <col min="9730" max="9730" width="41.5703125" style="1" customWidth="1"/>
    <col min="9731" max="9731" width="14.7109375" style="1" customWidth="1"/>
    <col min="9732" max="9732" width="18.85546875" style="1" customWidth="1"/>
    <col min="9733" max="9738" width="14.7109375" style="1" customWidth="1"/>
    <col min="9739" max="9739" width="16.7109375" style="1" customWidth="1"/>
    <col min="9740" max="9740" width="10" style="1" customWidth="1"/>
    <col min="9741" max="9741" width="7.42578125" style="1" customWidth="1"/>
    <col min="9742" max="9984" width="9.140625" style="1"/>
    <col min="9985" max="9985" width="6.7109375" style="1" customWidth="1"/>
    <col min="9986" max="9986" width="41.5703125" style="1" customWidth="1"/>
    <col min="9987" max="9987" width="14.7109375" style="1" customWidth="1"/>
    <col min="9988" max="9988" width="18.85546875" style="1" customWidth="1"/>
    <col min="9989" max="9994" width="14.7109375" style="1" customWidth="1"/>
    <col min="9995" max="9995" width="16.7109375" style="1" customWidth="1"/>
    <col min="9996" max="9996" width="10" style="1" customWidth="1"/>
    <col min="9997" max="9997" width="7.42578125" style="1" customWidth="1"/>
    <col min="9998" max="10240" width="9.140625" style="1"/>
    <col min="10241" max="10241" width="6.7109375" style="1" customWidth="1"/>
    <col min="10242" max="10242" width="41.5703125" style="1" customWidth="1"/>
    <col min="10243" max="10243" width="14.7109375" style="1" customWidth="1"/>
    <col min="10244" max="10244" width="18.85546875" style="1" customWidth="1"/>
    <col min="10245" max="10250" width="14.7109375" style="1" customWidth="1"/>
    <col min="10251" max="10251" width="16.7109375" style="1" customWidth="1"/>
    <col min="10252" max="10252" width="10" style="1" customWidth="1"/>
    <col min="10253" max="10253" width="7.42578125" style="1" customWidth="1"/>
    <col min="10254" max="10496" width="9.140625" style="1"/>
    <col min="10497" max="10497" width="6.7109375" style="1" customWidth="1"/>
    <col min="10498" max="10498" width="41.5703125" style="1" customWidth="1"/>
    <col min="10499" max="10499" width="14.7109375" style="1" customWidth="1"/>
    <col min="10500" max="10500" width="18.85546875" style="1" customWidth="1"/>
    <col min="10501" max="10506" width="14.7109375" style="1" customWidth="1"/>
    <col min="10507" max="10507" width="16.7109375" style="1" customWidth="1"/>
    <col min="10508" max="10508" width="10" style="1" customWidth="1"/>
    <col min="10509" max="10509" width="7.42578125" style="1" customWidth="1"/>
    <col min="10510" max="10752" width="9.140625" style="1"/>
    <col min="10753" max="10753" width="6.7109375" style="1" customWidth="1"/>
    <col min="10754" max="10754" width="41.5703125" style="1" customWidth="1"/>
    <col min="10755" max="10755" width="14.7109375" style="1" customWidth="1"/>
    <col min="10756" max="10756" width="18.85546875" style="1" customWidth="1"/>
    <col min="10757" max="10762" width="14.7109375" style="1" customWidth="1"/>
    <col min="10763" max="10763" width="16.7109375" style="1" customWidth="1"/>
    <col min="10764" max="10764" width="10" style="1" customWidth="1"/>
    <col min="10765" max="10765" width="7.42578125" style="1" customWidth="1"/>
    <col min="10766" max="11008" width="9.140625" style="1"/>
    <col min="11009" max="11009" width="6.7109375" style="1" customWidth="1"/>
    <col min="11010" max="11010" width="41.5703125" style="1" customWidth="1"/>
    <col min="11011" max="11011" width="14.7109375" style="1" customWidth="1"/>
    <col min="11012" max="11012" width="18.85546875" style="1" customWidth="1"/>
    <col min="11013" max="11018" width="14.7109375" style="1" customWidth="1"/>
    <col min="11019" max="11019" width="16.7109375" style="1" customWidth="1"/>
    <col min="11020" max="11020" width="10" style="1" customWidth="1"/>
    <col min="11021" max="11021" width="7.42578125" style="1" customWidth="1"/>
    <col min="11022" max="11264" width="9.140625" style="1"/>
    <col min="11265" max="11265" width="6.7109375" style="1" customWidth="1"/>
    <col min="11266" max="11266" width="41.5703125" style="1" customWidth="1"/>
    <col min="11267" max="11267" width="14.7109375" style="1" customWidth="1"/>
    <col min="11268" max="11268" width="18.85546875" style="1" customWidth="1"/>
    <col min="11269" max="11274" width="14.7109375" style="1" customWidth="1"/>
    <col min="11275" max="11275" width="16.7109375" style="1" customWidth="1"/>
    <col min="11276" max="11276" width="10" style="1" customWidth="1"/>
    <col min="11277" max="11277" width="7.42578125" style="1" customWidth="1"/>
    <col min="11278" max="11520" width="9.140625" style="1"/>
    <col min="11521" max="11521" width="6.7109375" style="1" customWidth="1"/>
    <col min="11522" max="11522" width="41.5703125" style="1" customWidth="1"/>
    <col min="11523" max="11523" width="14.7109375" style="1" customWidth="1"/>
    <col min="11524" max="11524" width="18.85546875" style="1" customWidth="1"/>
    <col min="11525" max="11530" width="14.7109375" style="1" customWidth="1"/>
    <col min="11531" max="11531" width="16.7109375" style="1" customWidth="1"/>
    <col min="11532" max="11532" width="10" style="1" customWidth="1"/>
    <col min="11533" max="11533" width="7.42578125" style="1" customWidth="1"/>
    <col min="11534" max="11776" width="9.140625" style="1"/>
    <col min="11777" max="11777" width="6.7109375" style="1" customWidth="1"/>
    <col min="11778" max="11778" width="41.5703125" style="1" customWidth="1"/>
    <col min="11779" max="11779" width="14.7109375" style="1" customWidth="1"/>
    <col min="11780" max="11780" width="18.85546875" style="1" customWidth="1"/>
    <col min="11781" max="11786" width="14.7109375" style="1" customWidth="1"/>
    <col min="11787" max="11787" width="16.7109375" style="1" customWidth="1"/>
    <col min="11788" max="11788" width="10" style="1" customWidth="1"/>
    <col min="11789" max="11789" width="7.42578125" style="1" customWidth="1"/>
    <col min="11790" max="12032" width="9.140625" style="1"/>
    <col min="12033" max="12033" width="6.7109375" style="1" customWidth="1"/>
    <col min="12034" max="12034" width="41.5703125" style="1" customWidth="1"/>
    <col min="12035" max="12035" width="14.7109375" style="1" customWidth="1"/>
    <col min="12036" max="12036" width="18.85546875" style="1" customWidth="1"/>
    <col min="12037" max="12042" width="14.7109375" style="1" customWidth="1"/>
    <col min="12043" max="12043" width="16.7109375" style="1" customWidth="1"/>
    <col min="12044" max="12044" width="10" style="1" customWidth="1"/>
    <col min="12045" max="12045" width="7.42578125" style="1" customWidth="1"/>
    <col min="12046" max="12288" width="9.140625" style="1"/>
    <col min="12289" max="12289" width="6.7109375" style="1" customWidth="1"/>
    <col min="12290" max="12290" width="41.5703125" style="1" customWidth="1"/>
    <col min="12291" max="12291" width="14.7109375" style="1" customWidth="1"/>
    <col min="12292" max="12292" width="18.85546875" style="1" customWidth="1"/>
    <col min="12293" max="12298" width="14.7109375" style="1" customWidth="1"/>
    <col min="12299" max="12299" width="16.7109375" style="1" customWidth="1"/>
    <col min="12300" max="12300" width="10" style="1" customWidth="1"/>
    <col min="12301" max="12301" width="7.42578125" style="1" customWidth="1"/>
    <col min="12302" max="12544" width="9.140625" style="1"/>
    <col min="12545" max="12545" width="6.7109375" style="1" customWidth="1"/>
    <col min="12546" max="12546" width="41.5703125" style="1" customWidth="1"/>
    <col min="12547" max="12547" width="14.7109375" style="1" customWidth="1"/>
    <col min="12548" max="12548" width="18.85546875" style="1" customWidth="1"/>
    <col min="12549" max="12554" width="14.7109375" style="1" customWidth="1"/>
    <col min="12555" max="12555" width="16.7109375" style="1" customWidth="1"/>
    <col min="12556" max="12556" width="10" style="1" customWidth="1"/>
    <col min="12557" max="12557" width="7.42578125" style="1" customWidth="1"/>
    <col min="12558" max="12800" width="9.140625" style="1"/>
    <col min="12801" max="12801" width="6.7109375" style="1" customWidth="1"/>
    <col min="12802" max="12802" width="41.5703125" style="1" customWidth="1"/>
    <col min="12803" max="12803" width="14.7109375" style="1" customWidth="1"/>
    <col min="12804" max="12804" width="18.85546875" style="1" customWidth="1"/>
    <col min="12805" max="12810" width="14.7109375" style="1" customWidth="1"/>
    <col min="12811" max="12811" width="16.7109375" style="1" customWidth="1"/>
    <col min="12812" max="12812" width="10" style="1" customWidth="1"/>
    <col min="12813" max="12813" width="7.42578125" style="1" customWidth="1"/>
    <col min="12814" max="13056" width="9.140625" style="1"/>
    <col min="13057" max="13057" width="6.7109375" style="1" customWidth="1"/>
    <col min="13058" max="13058" width="41.5703125" style="1" customWidth="1"/>
    <col min="13059" max="13059" width="14.7109375" style="1" customWidth="1"/>
    <col min="13060" max="13060" width="18.85546875" style="1" customWidth="1"/>
    <col min="13061" max="13066" width="14.7109375" style="1" customWidth="1"/>
    <col min="13067" max="13067" width="16.7109375" style="1" customWidth="1"/>
    <col min="13068" max="13068" width="10" style="1" customWidth="1"/>
    <col min="13069" max="13069" width="7.42578125" style="1" customWidth="1"/>
    <col min="13070" max="13312" width="9.140625" style="1"/>
    <col min="13313" max="13313" width="6.7109375" style="1" customWidth="1"/>
    <col min="13314" max="13314" width="41.5703125" style="1" customWidth="1"/>
    <col min="13315" max="13315" width="14.7109375" style="1" customWidth="1"/>
    <col min="13316" max="13316" width="18.85546875" style="1" customWidth="1"/>
    <col min="13317" max="13322" width="14.7109375" style="1" customWidth="1"/>
    <col min="13323" max="13323" width="16.7109375" style="1" customWidth="1"/>
    <col min="13324" max="13324" width="10" style="1" customWidth="1"/>
    <col min="13325" max="13325" width="7.42578125" style="1" customWidth="1"/>
    <col min="13326" max="13568" width="9.140625" style="1"/>
    <col min="13569" max="13569" width="6.7109375" style="1" customWidth="1"/>
    <col min="13570" max="13570" width="41.5703125" style="1" customWidth="1"/>
    <col min="13571" max="13571" width="14.7109375" style="1" customWidth="1"/>
    <col min="13572" max="13572" width="18.85546875" style="1" customWidth="1"/>
    <col min="13573" max="13578" width="14.7109375" style="1" customWidth="1"/>
    <col min="13579" max="13579" width="16.7109375" style="1" customWidth="1"/>
    <col min="13580" max="13580" width="10" style="1" customWidth="1"/>
    <col min="13581" max="13581" width="7.42578125" style="1" customWidth="1"/>
    <col min="13582" max="13824" width="9.140625" style="1"/>
    <col min="13825" max="13825" width="6.7109375" style="1" customWidth="1"/>
    <col min="13826" max="13826" width="41.5703125" style="1" customWidth="1"/>
    <col min="13827" max="13827" width="14.7109375" style="1" customWidth="1"/>
    <col min="13828" max="13828" width="18.85546875" style="1" customWidth="1"/>
    <col min="13829" max="13834" width="14.7109375" style="1" customWidth="1"/>
    <col min="13835" max="13835" width="16.7109375" style="1" customWidth="1"/>
    <col min="13836" max="13836" width="10" style="1" customWidth="1"/>
    <col min="13837" max="13837" width="7.42578125" style="1" customWidth="1"/>
    <col min="13838" max="14080" width="9.140625" style="1"/>
    <col min="14081" max="14081" width="6.7109375" style="1" customWidth="1"/>
    <col min="14082" max="14082" width="41.5703125" style="1" customWidth="1"/>
    <col min="14083" max="14083" width="14.7109375" style="1" customWidth="1"/>
    <col min="14084" max="14084" width="18.85546875" style="1" customWidth="1"/>
    <col min="14085" max="14090" width="14.7109375" style="1" customWidth="1"/>
    <col min="14091" max="14091" width="16.7109375" style="1" customWidth="1"/>
    <col min="14092" max="14092" width="10" style="1" customWidth="1"/>
    <col min="14093" max="14093" width="7.42578125" style="1" customWidth="1"/>
    <col min="14094" max="14336" width="9.140625" style="1"/>
    <col min="14337" max="14337" width="6.7109375" style="1" customWidth="1"/>
    <col min="14338" max="14338" width="41.5703125" style="1" customWidth="1"/>
    <col min="14339" max="14339" width="14.7109375" style="1" customWidth="1"/>
    <col min="14340" max="14340" width="18.85546875" style="1" customWidth="1"/>
    <col min="14341" max="14346" width="14.7109375" style="1" customWidth="1"/>
    <col min="14347" max="14347" width="16.7109375" style="1" customWidth="1"/>
    <col min="14348" max="14348" width="10" style="1" customWidth="1"/>
    <col min="14349" max="14349" width="7.42578125" style="1" customWidth="1"/>
    <col min="14350" max="14592" width="9.140625" style="1"/>
    <col min="14593" max="14593" width="6.7109375" style="1" customWidth="1"/>
    <col min="14594" max="14594" width="41.5703125" style="1" customWidth="1"/>
    <col min="14595" max="14595" width="14.7109375" style="1" customWidth="1"/>
    <col min="14596" max="14596" width="18.85546875" style="1" customWidth="1"/>
    <col min="14597" max="14602" width="14.7109375" style="1" customWidth="1"/>
    <col min="14603" max="14603" width="16.7109375" style="1" customWidth="1"/>
    <col min="14604" max="14604" width="10" style="1" customWidth="1"/>
    <col min="14605" max="14605" width="7.42578125" style="1" customWidth="1"/>
    <col min="14606" max="14848" width="9.140625" style="1"/>
    <col min="14849" max="14849" width="6.7109375" style="1" customWidth="1"/>
    <col min="14850" max="14850" width="41.5703125" style="1" customWidth="1"/>
    <col min="14851" max="14851" width="14.7109375" style="1" customWidth="1"/>
    <col min="14852" max="14852" width="18.85546875" style="1" customWidth="1"/>
    <col min="14853" max="14858" width="14.7109375" style="1" customWidth="1"/>
    <col min="14859" max="14859" width="16.7109375" style="1" customWidth="1"/>
    <col min="14860" max="14860" width="10" style="1" customWidth="1"/>
    <col min="14861" max="14861" width="7.42578125" style="1" customWidth="1"/>
    <col min="14862" max="15104" width="9.140625" style="1"/>
    <col min="15105" max="15105" width="6.7109375" style="1" customWidth="1"/>
    <col min="15106" max="15106" width="41.5703125" style="1" customWidth="1"/>
    <col min="15107" max="15107" width="14.7109375" style="1" customWidth="1"/>
    <col min="15108" max="15108" width="18.85546875" style="1" customWidth="1"/>
    <col min="15109" max="15114" width="14.7109375" style="1" customWidth="1"/>
    <col min="15115" max="15115" width="16.7109375" style="1" customWidth="1"/>
    <col min="15116" max="15116" width="10" style="1" customWidth="1"/>
    <col min="15117" max="15117" width="7.42578125" style="1" customWidth="1"/>
    <col min="15118" max="15360" width="9.140625" style="1"/>
    <col min="15361" max="15361" width="6.7109375" style="1" customWidth="1"/>
    <col min="15362" max="15362" width="41.5703125" style="1" customWidth="1"/>
    <col min="15363" max="15363" width="14.7109375" style="1" customWidth="1"/>
    <col min="15364" max="15364" width="18.85546875" style="1" customWidth="1"/>
    <col min="15365" max="15370" width="14.7109375" style="1" customWidth="1"/>
    <col min="15371" max="15371" width="16.7109375" style="1" customWidth="1"/>
    <col min="15372" max="15372" width="10" style="1" customWidth="1"/>
    <col min="15373" max="15373" width="7.42578125" style="1" customWidth="1"/>
    <col min="15374" max="15616" width="9.140625" style="1"/>
    <col min="15617" max="15617" width="6.7109375" style="1" customWidth="1"/>
    <col min="15618" max="15618" width="41.5703125" style="1" customWidth="1"/>
    <col min="15619" max="15619" width="14.7109375" style="1" customWidth="1"/>
    <col min="15620" max="15620" width="18.85546875" style="1" customWidth="1"/>
    <col min="15621" max="15626" width="14.7109375" style="1" customWidth="1"/>
    <col min="15627" max="15627" width="16.7109375" style="1" customWidth="1"/>
    <col min="15628" max="15628" width="10" style="1" customWidth="1"/>
    <col min="15629" max="15629" width="7.42578125" style="1" customWidth="1"/>
    <col min="15630" max="15872" width="9.140625" style="1"/>
    <col min="15873" max="15873" width="6.7109375" style="1" customWidth="1"/>
    <col min="15874" max="15874" width="41.5703125" style="1" customWidth="1"/>
    <col min="15875" max="15875" width="14.7109375" style="1" customWidth="1"/>
    <col min="15876" max="15876" width="18.85546875" style="1" customWidth="1"/>
    <col min="15877" max="15882" width="14.7109375" style="1" customWidth="1"/>
    <col min="15883" max="15883" width="16.7109375" style="1" customWidth="1"/>
    <col min="15884" max="15884" width="10" style="1" customWidth="1"/>
    <col min="15885" max="15885" width="7.42578125" style="1" customWidth="1"/>
    <col min="15886" max="16128" width="9.140625" style="1"/>
    <col min="16129" max="16129" width="6.7109375" style="1" customWidth="1"/>
    <col min="16130" max="16130" width="41.5703125" style="1" customWidth="1"/>
    <col min="16131" max="16131" width="14.7109375" style="1" customWidth="1"/>
    <col min="16132" max="16132" width="18.85546875" style="1" customWidth="1"/>
    <col min="16133" max="16138" width="14.7109375" style="1" customWidth="1"/>
    <col min="16139" max="16139" width="16.7109375" style="1" customWidth="1"/>
    <col min="16140" max="16140" width="10" style="1" customWidth="1"/>
    <col min="16141" max="16141" width="7.42578125" style="1" customWidth="1"/>
    <col min="16142" max="16384" width="9.140625" style="1"/>
  </cols>
  <sheetData>
    <row r="1" spans="1:16" ht="15" customHeight="1" x14ac:dyDescent="0.25">
      <c r="M1" s="6"/>
    </row>
    <row r="2" spans="1:16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70"/>
    </row>
    <row r="3" spans="1:16" ht="15" customHeight="1" x14ac:dyDescent="0.2"/>
    <row r="4" spans="1:16" ht="20.100000000000001" customHeight="1" x14ac:dyDescent="0.3">
      <c r="A4" s="7" t="s">
        <v>356</v>
      </c>
      <c r="L4" s="642"/>
    </row>
    <row r="5" spans="1:16" ht="15" customHeight="1" thickBot="1" x14ac:dyDescent="0.35">
      <c r="A5" s="7"/>
      <c r="M5" s="1"/>
      <c r="N5" s="642" t="s">
        <v>0</v>
      </c>
    </row>
    <row r="6" spans="1:16" s="142" customFormat="1" ht="15.75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  <c r="O6" s="759"/>
    </row>
    <row r="7" spans="1:16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  <c r="O7" s="759"/>
    </row>
    <row r="8" spans="1:16" s="18" customFormat="1" ht="20.100000000000001" customHeight="1" thickBot="1" x14ac:dyDescent="0.3">
      <c r="A8" s="9"/>
      <c r="B8" s="643" t="s">
        <v>158</v>
      </c>
      <c r="C8" s="644"/>
      <c r="D8" s="645"/>
      <c r="E8" s="644"/>
      <c r="F8" s="13"/>
      <c r="G8" s="13"/>
      <c r="H8" s="14"/>
      <c r="I8" s="14"/>
      <c r="J8" s="14"/>
      <c r="K8" s="15"/>
      <c r="L8" s="16"/>
      <c r="M8" s="17"/>
      <c r="O8" s="229"/>
    </row>
    <row r="9" spans="1:16" ht="15" customHeight="1" x14ac:dyDescent="0.2">
      <c r="A9" s="506">
        <v>3513</v>
      </c>
      <c r="B9" s="1559" t="s">
        <v>348</v>
      </c>
      <c r="C9" s="1560"/>
      <c r="D9" s="646">
        <v>38988</v>
      </c>
      <c r="E9" s="659">
        <v>35726</v>
      </c>
      <c r="F9" s="657">
        <v>40000</v>
      </c>
      <c r="G9" s="570">
        <v>42638</v>
      </c>
      <c r="H9" s="571">
        <v>40843.599999999999</v>
      </c>
      <c r="I9" s="392">
        <v>40686</v>
      </c>
      <c r="J9" s="572">
        <v>0</v>
      </c>
      <c r="K9" s="723">
        <v>0</v>
      </c>
      <c r="L9" s="838">
        <f>SUM(I9:K9)</f>
        <v>40686</v>
      </c>
      <c r="M9" s="647">
        <f>L9/F9*100</f>
        <v>101.715</v>
      </c>
      <c r="N9" s="648">
        <f t="shared" ref="N9:N24" si="0">L9/G9*100</f>
        <v>95.421924105258213</v>
      </c>
    </row>
    <row r="10" spans="1:16" ht="15" customHeight="1" x14ac:dyDescent="0.2">
      <c r="A10" s="640">
        <v>3522</v>
      </c>
      <c r="B10" s="1483" t="s">
        <v>349</v>
      </c>
      <c r="C10" s="1484"/>
      <c r="D10" s="649">
        <v>175450</v>
      </c>
      <c r="E10" s="660">
        <v>44240.52</v>
      </c>
      <c r="F10" s="658">
        <v>0</v>
      </c>
      <c r="G10" s="650">
        <v>0</v>
      </c>
      <c r="H10" s="651">
        <v>0</v>
      </c>
      <c r="I10" s="464">
        <v>0</v>
      </c>
      <c r="J10" s="724">
        <v>0</v>
      </c>
      <c r="K10" s="725">
        <v>0</v>
      </c>
      <c r="L10" s="1106">
        <f>SUM(I10:K10)</f>
        <v>0</v>
      </c>
      <c r="M10" s="652" t="s">
        <v>71</v>
      </c>
      <c r="N10" s="385" t="s">
        <v>71</v>
      </c>
    </row>
    <row r="11" spans="1:16" ht="29.25" customHeight="1" x14ac:dyDescent="0.2">
      <c r="A11" s="1461">
        <v>3529</v>
      </c>
      <c r="B11" s="1561" t="s">
        <v>385</v>
      </c>
      <c r="C11" s="1562"/>
      <c r="D11" s="443">
        <f>SUM(D12,D13,D14)</f>
        <v>105881</v>
      </c>
      <c r="E11" s="444">
        <v>114495.78</v>
      </c>
      <c r="F11" s="494">
        <f>SUM(F12,F13,F14)</f>
        <v>115083</v>
      </c>
      <c r="G11" s="370">
        <f>SUM(G12,G13,G14)</f>
        <v>128984.3</v>
      </c>
      <c r="H11" s="495">
        <v>97848.94</v>
      </c>
      <c r="I11" s="496">
        <f>SUM(I12,I13,I14)</f>
        <v>108834</v>
      </c>
      <c r="J11" s="484">
        <f t="shared" ref="J11:K11" si="1">SUM(J12,J13,J14)</f>
        <v>12804</v>
      </c>
      <c r="K11" s="447">
        <f t="shared" si="1"/>
        <v>6401</v>
      </c>
      <c r="L11" s="373">
        <f>SUM(I11:K11)</f>
        <v>128039</v>
      </c>
      <c r="M11" s="652">
        <f t="shared" ref="M11:M24" si="2">L11/F11*100</f>
        <v>111.25796164507355</v>
      </c>
      <c r="N11" s="385">
        <f t="shared" si="0"/>
        <v>99.267120106865718</v>
      </c>
    </row>
    <row r="12" spans="1:16" ht="15" customHeight="1" x14ac:dyDescent="0.2">
      <c r="A12" s="1462"/>
      <c r="B12" s="1563" t="s">
        <v>133</v>
      </c>
      <c r="C12" s="180" t="s">
        <v>208</v>
      </c>
      <c r="D12" s="663">
        <v>21502</v>
      </c>
      <c r="E12" s="664">
        <v>21567.75</v>
      </c>
      <c r="F12" s="665">
        <v>18145</v>
      </c>
      <c r="G12" s="666">
        <v>18299.25</v>
      </c>
      <c r="H12" s="667">
        <v>13608.63</v>
      </c>
      <c r="I12" s="726">
        <v>15729</v>
      </c>
      <c r="J12" s="727">
        <v>1850</v>
      </c>
      <c r="K12" s="898">
        <v>925</v>
      </c>
      <c r="L12" s="156">
        <f t="shared" ref="L12:L23" si="3">SUM(I12:K12)</f>
        <v>18504</v>
      </c>
      <c r="M12" s="668">
        <f t="shared" si="2"/>
        <v>101.9785064756131</v>
      </c>
      <c r="N12" s="158">
        <f t="shared" si="0"/>
        <v>101.11889831550474</v>
      </c>
      <c r="P12" s="3"/>
    </row>
    <row r="13" spans="1:16" ht="15" customHeight="1" x14ac:dyDescent="0.2">
      <c r="A13" s="1462"/>
      <c r="B13" s="1564"/>
      <c r="C13" s="180" t="s">
        <v>209</v>
      </c>
      <c r="D13" s="663">
        <v>82064</v>
      </c>
      <c r="E13" s="664">
        <v>89583.03</v>
      </c>
      <c r="F13" s="665">
        <v>95181</v>
      </c>
      <c r="G13" s="666">
        <v>106368.05</v>
      </c>
      <c r="H13" s="667">
        <v>81822.710000000006</v>
      </c>
      <c r="I13" s="726">
        <v>91000</v>
      </c>
      <c r="J13" s="727">
        <v>10706</v>
      </c>
      <c r="K13" s="898">
        <v>5353</v>
      </c>
      <c r="L13" s="156">
        <f t="shared" si="3"/>
        <v>107059</v>
      </c>
      <c r="M13" s="668">
        <f t="shared" si="2"/>
        <v>112.4793813891428</v>
      </c>
      <c r="N13" s="158">
        <f t="shared" si="0"/>
        <v>100.64958415614463</v>
      </c>
      <c r="P13" s="3"/>
    </row>
    <row r="14" spans="1:16" ht="15" customHeight="1" x14ac:dyDescent="0.2">
      <c r="A14" s="1463"/>
      <c r="B14" s="1565"/>
      <c r="C14" s="180" t="s">
        <v>210</v>
      </c>
      <c r="D14" s="663">
        <v>2315</v>
      </c>
      <c r="E14" s="664">
        <v>3345</v>
      </c>
      <c r="F14" s="665">
        <v>1757</v>
      </c>
      <c r="G14" s="666">
        <v>4317</v>
      </c>
      <c r="H14" s="667">
        <v>2417.6</v>
      </c>
      <c r="I14" s="726">
        <v>2105</v>
      </c>
      <c r="J14" s="727">
        <v>248</v>
      </c>
      <c r="K14" s="898">
        <v>123</v>
      </c>
      <c r="L14" s="156">
        <f t="shared" si="3"/>
        <v>2476</v>
      </c>
      <c r="M14" s="668">
        <f t="shared" si="2"/>
        <v>140.92202618099031</v>
      </c>
      <c r="N14" s="158">
        <f t="shared" si="0"/>
        <v>57.354644429001624</v>
      </c>
      <c r="P14" s="3"/>
    </row>
    <row r="15" spans="1:16" ht="29.25" customHeight="1" x14ac:dyDescent="0.2">
      <c r="A15" s="416">
        <v>3529</v>
      </c>
      <c r="B15" s="1483" t="s">
        <v>350</v>
      </c>
      <c r="C15" s="1484"/>
      <c r="D15" s="443">
        <v>0</v>
      </c>
      <c r="E15" s="485">
        <v>40.29</v>
      </c>
      <c r="F15" s="494">
        <v>0</v>
      </c>
      <c r="G15" s="370">
        <v>29.11</v>
      </c>
      <c r="H15" s="512">
        <v>0</v>
      </c>
      <c r="I15" s="496">
        <v>0</v>
      </c>
      <c r="J15" s="484">
        <v>0</v>
      </c>
      <c r="K15" s="513">
        <v>0</v>
      </c>
      <c r="L15" s="373">
        <f t="shared" si="3"/>
        <v>0</v>
      </c>
      <c r="M15" s="654" t="s">
        <v>71</v>
      </c>
      <c r="N15" s="374">
        <f t="shared" si="0"/>
        <v>0</v>
      </c>
      <c r="P15" s="3"/>
    </row>
    <row r="16" spans="1:16" ht="45" customHeight="1" x14ac:dyDescent="0.2">
      <c r="A16" s="639">
        <v>3532</v>
      </c>
      <c r="B16" s="1483" t="s">
        <v>351</v>
      </c>
      <c r="C16" s="1484"/>
      <c r="D16" s="443">
        <v>0</v>
      </c>
      <c r="E16" s="485">
        <v>0</v>
      </c>
      <c r="F16" s="494">
        <v>0</v>
      </c>
      <c r="G16" s="370">
        <v>600</v>
      </c>
      <c r="H16" s="512">
        <v>0</v>
      </c>
      <c r="I16" s="496">
        <v>0</v>
      </c>
      <c r="J16" s="484">
        <v>600</v>
      </c>
      <c r="K16" s="513">
        <v>0</v>
      </c>
      <c r="L16" s="373">
        <f>SUM(I16:K16)</f>
        <v>600</v>
      </c>
      <c r="M16" s="654" t="s">
        <v>71</v>
      </c>
      <c r="N16" s="374">
        <f t="shared" si="0"/>
        <v>100</v>
      </c>
      <c r="P16" s="3"/>
    </row>
    <row r="17" spans="1:16" ht="30" customHeight="1" x14ac:dyDescent="0.2">
      <c r="A17" s="1461">
        <v>3533</v>
      </c>
      <c r="B17" s="1483" t="s">
        <v>352</v>
      </c>
      <c r="C17" s="1484"/>
      <c r="D17" s="443">
        <f>SUM(D19,D20)</f>
        <v>467000</v>
      </c>
      <c r="E17" s="485">
        <v>491276</v>
      </c>
      <c r="F17" s="494">
        <f>SUM(F19,F20)</f>
        <v>508560</v>
      </c>
      <c r="G17" s="370">
        <f>SUM(G19,G20)</f>
        <v>537194</v>
      </c>
      <c r="H17" s="512">
        <v>401720</v>
      </c>
      <c r="I17" s="496">
        <f>SUM(I18,I19,I20)</f>
        <v>448800</v>
      </c>
      <c r="J17" s="484">
        <f t="shared" ref="J17:K17" si="4">SUM(J18,J19,J20)</f>
        <v>52800</v>
      </c>
      <c r="K17" s="513">
        <f t="shared" si="4"/>
        <v>26400</v>
      </c>
      <c r="L17" s="373">
        <f t="shared" si="3"/>
        <v>528000</v>
      </c>
      <c r="M17" s="652">
        <f t="shared" si="2"/>
        <v>103.82255781028786</v>
      </c>
      <c r="N17" s="655">
        <f t="shared" si="0"/>
        <v>98.288514019143918</v>
      </c>
      <c r="P17" s="3"/>
    </row>
    <row r="18" spans="1:16" ht="15" customHeight="1" x14ac:dyDescent="0.2">
      <c r="A18" s="1462"/>
      <c r="B18" s="1563" t="s">
        <v>133</v>
      </c>
      <c r="C18" s="180" t="s">
        <v>208</v>
      </c>
      <c r="D18" s="230">
        <v>0</v>
      </c>
      <c r="E18" s="231">
        <v>0</v>
      </c>
      <c r="F18" s="232">
        <v>0</v>
      </c>
      <c r="G18" s="169">
        <v>0</v>
      </c>
      <c r="H18" s="233">
        <v>0</v>
      </c>
      <c r="I18" s="171">
        <v>0</v>
      </c>
      <c r="J18" s="172">
        <v>0</v>
      </c>
      <c r="K18" s="234">
        <v>0</v>
      </c>
      <c r="L18" s="164">
        <f>SUM(I18:K18)</f>
        <v>0</v>
      </c>
      <c r="M18" s="653" t="s">
        <v>71</v>
      </c>
      <c r="N18" s="167" t="s">
        <v>71</v>
      </c>
      <c r="P18" s="3"/>
    </row>
    <row r="19" spans="1:16" ht="15" customHeight="1" x14ac:dyDescent="0.2">
      <c r="A19" s="1462"/>
      <c r="B19" s="1564"/>
      <c r="C19" s="180" t="s">
        <v>233</v>
      </c>
      <c r="D19" s="230">
        <v>467000</v>
      </c>
      <c r="E19" s="231">
        <v>489000</v>
      </c>
      <c r="F19" s="232">
        <v>508560</v>
      </c>
      <c r="G19" s="169">
        <v>527560</v>
      </c>
      <c r="H19" s="233">
        <v>394720</v>
      </c>
      <c r="I19" s="171">
        <v>448800</v>
      </c>
      <c r="J19" s="172">
        <v>52800</v>
      </c>
      <c r="K19" s="234">
        <v>26400</v>
      </c>
      <c r="L19" s="164">
        <f t="shared" si="3"/>
        <v>528000</v>
      </c>
      <c r="M19" s="653">
        <f t="shared" si="2"/>
        <v>103.82255781028786</v>
      </c>
      <c r="N19" s="167">
        <f t="shared" si="0"/>
        <v>100.0834028356964</v>
      </c>
      <c r="P19" s="3"/>
    </row>
    <row r="20" spans="1:16" ht="15" customHeight="1" x14ac:dyDescent="0.2">
      <c r="A20" s="1463"/>
      <c r="B20" s="1565"/>
      <c r="C20" s="1014" t="s">
        <v>234</v>
      </c>
      <c r="D20" s="159">
        <v>0</v>
      </c>
      <c r="E20" s="160">
        <v>2276</v>
      </c>
      <c r="F20" s="224">
        <v>0</v>
      </c>
      <c r="G20" s="161">
        <v>9634</v>
      </c>
      <c r="H20" s="656">
        <v>7000</v>
      </c>
      <c r="I20" s="163">
        <v>0</v>
      </c>
      <c r="J20" s="175">
        <v>0</v>
      </c>
      <c r="K20" s="227">
        <v>0</v>
      </c>
      <c r="L20" s="164">
        <f t="shared" si="3"/>
        <v>0</v>
      </c>
      <c r="M20" s="653" t="s">
        <v>71</v>
      </c>
      <c r="N20" s="167">
        <f t="shared" si="0"/>
        <v>0</v>
      </c>
    </row>
    <row r="21" spans="1:16" ht="20.100000000000001" customHeight="1" x14ac:dyDescent="0.2">
      <c r="A21" s="416">
        <v>3599</v>
      </c>
      <c r="B21" s="1483" t="s">
        <v>353</v>
      </c>
      <c r="C21" s="1484"/>
      <c r="D21" s="402">
        <v>990</v>
      </c>
      <c r="E21" s="403">
        <v>2152.64</v>
      </c>
      <c r="F21" s="522">
        <v>3349</v>
      </c>
      <c r="G21" s="382">
        <v>4096.7700000000004</v>
      </c>
      <c r="H21" s="527">
        <v>2389.58</v>
      </c>
      <c r="I21" s="405">
        <v>4619</v>
      </c>
      <c r="J21" s="406">
        <v>0</v>
      </c>
      <c r="K21" s="525">
        <v>0</v>
      </c>
      <c r="L21" s="373">
        <f t="shared" si="3"/>
        <v>4619</v>
      </c>
      <c r="M21" s="652">
        <f t="shared" si="2"/>
        <v>137.92176769184832</v>
      </c>
      <c r="N21" s="385">
        <f t="shared" si="0"/>
        <v>112.74735950517115</v>
      </c>
    </row>
    <row r="22" spans="1:16" ht="29.25" customHeight="1" x14ac:dyDescent="0.2">
      <c r="A22" s="416">
        <v>3599</v>
      </c>
      <c r="B22" s="1483" t="s">
        <v>354</v>
      </c>
      <c r="C22" s="1484"/>
      <c r="D22" s="402">
        <v>33772</v>
      </c>
      <c r="E22" s="403">
        <v>33772</v>
      </c>
      <c r="F22" s="522">
        <v>33390</v>
      </c>
      <c r="G22" s="382">
        <f>31590+2500</f>
        <v>34090</v>
      </c>
      <c r="H22" s="527">
        <f>31590+2500</f>
        <v>34090</v>
      </c>
      <c r="I22" s="405">
        <v>32386</v>
      </c>
      <c r="J22" s="406">
        <v>0</v>
      </c>
      <c r="K22" s="525">
        <v>0</v>
      </c>
      <c r="L22" s="373">
        <f t="shared" si="3"/>
        <v>32386</v>
      </c>
      <c r="M22" s="652">
        <f t="shared" si="2"/>
        <v>96.993111710092833</v>
      </c>
      <c r="N22" s="385">
        <f t="shared" si="0"/>
        <v>95.001466705778824</v>
      </c>
    </row>
    <row r="23" spans="1:16" ht="29.25" customHeight="1" thickBot="1" x14ac:dyDescent="0.25">
      <c r="A23" s="639">
        <v>3599</v>
      </c>
      <c r="B23" s="1483" t="s">
        <v>355</v>
      </c>
      <c r="C23" s="1484"/>
      <c r="D23" s="402">
        <v>0</v>
      </c>
      <c r="E23" s="403">
        <v>0</v>
      </c>
      <c r="F23" s="522">
        <v>5000</v>
      </c>
      <c r="G23" s="382">
        <v>5000</v>
      </c>
      <c r="H23" s="527">
        <v>0</v>
      </c>
      <c r="I23" s="405">
        <v>0</v>
      </c>
      <c r="J23" s="406">
        <v>1239</v>
      </c>
      <c r="K23" s="525">
        <v>0</v>
      </c>
      <c r="L23" s="373">
        <f t="shared" si="3"/>
        <v>1239</v>
      </c>
      <c r="M23" s="652">
        <f t="shared" si="2"/>
        <v>24.779999999999998</v>
      </c>
      <c r="N23" s="385">
        <f t="shared" si="0"/>
        <v>24.779999999999998</v>
      </c>
    </row>
    <row r="24" spans="1:16" ht="16.5" thickBot="1" x14ac:dyDescent="0.25">
      <c r="A24" s="963"/>
      <c r="B24" s="1489" t="s">
        <v>99</v>
      </c>
      <c r="C24" s="1490"/>
      <c r="D24" s="956">
        <f>SUM(D9,D10,D11,D15,D17,D21,D22)</f>
        <v>822081</v>
      </c>
      <c r="E24" s="997">
        <f>SUM(E9,E10,E11,E15,E17,E21,E22)</f>
        <v>721703.23</v>
      </c>
      <c r="F24" s="976">
        <f>SUM(F9,F10,F11,F15,F17,F21,F22,F23)</f>
        <v>705382</v>
      </c>
      <c r="G24" s="1006">
        <f>SUM(G9,G10,G11,G15,G16,G17,G21,G22,G23,)</f>
        <v>752632.17999999993</v>
      </c>
      <c r="H24" s="1007">
        <f>SUM(H9,H10,H11,H15,H16,H17,H21,H22,H23,)</f>
        <v>576892.12</v>
      </c>
      <c r="I24" s="1008">
        <f>SUM(I9,I11,I15,I17,I16,I21,I22,I23,)</f>
        <v>635325</v>
      </c>
      <c r="J24" s="1009">
        <f>SUM(J9,J11,J15,J17,J16,J21,J22,J23,)</f>
        <v>67443</v>
      </c>
      <c r="K24" s="1015">
        <f>SUM(K9,K11,K15,K17,K16,K21,K22,K23,)</f>
        <v>32801</v>
      </c>
      <c r="L24" s="165">
        <f>SUM(L9,L11,L17,L21,L22,L16,L23,)</f>
        <v>735569</v>
      </c>
      <c r="M24" s="1016">
        <f t="shared" si="2"/>
        <v>104.27952513673442</v>
      </c>
      <c r="N24" s="962">
        <f t="shared" si="0"/>
        <v>97.732866006340586</v>
      </c>
    </row>
    <row r="25" spans="1:16" ht="15" x14ac:dyDescent="0.25">
      <c r="A25" s="23"/>
      <c r="B25" s="23"/>
      <c r="C25" s="24"/>
      <c r="D25" s="24"/>
      <c r="E25" s="25"/>
      <c r="F25" s="27"/>
      <c r="G25" s="26"/>
      <c r="H25" s="26"/>
      <c r="I25" s="27"/>
      <c r="J25" s="27"/>
      <c r="K25" s="27"/>
      <c r="L25" s="807"/>
      <c r="M25" s="29"/>
      <c r="N25" s="19"/>
    </row>
    <row r="26" spans="1:16" ht="15" x14ac:dyDescent="0.25">
      <c r="D26" s="25"/>
      <c r="E26" s="25"/>
      <c r="F26" s="25"/>
      <c r="G26" s="25"/>
      <c r="H26" s="25"/>
      <c r="I26" s="25"/>
      <c r="J26" s="25"/>
      <c r="K26" s="25"/>
      <c r="L26" s="25"/>
    </row>
    <row r="27" spans="1:16" ht="15" x14ac:dyDescent="0.25"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22">
    <mergeCell ref="B21:C21"/>
    <mergeCell ref="B22:C22"/>
    <mergeCell ref="B23:C23"/>
    <mergeCell ref="B24:C24"/>
    <mergeCell ref="B15:C15"/>
    <mergeCell ref="B18:B20"/>
    <mergeCell ref="N6:N7"/>
    <mergeCell ref="B17:C17"/>
    <mergeCell ref="B16:C16"/>
    <mergeCell ref="A2:M2"/>
    <mergeCell ref="A6:A7"/>
    <mergeCell ref="B6:C7"/>
    <mergeCell ref="D6:E6"/>
    <mergeCell ref="F6:H6"/>
    <mergeCell ref="I6:L6"/>
    <mergeCell ref="M6:M7"/>
    <mergeCell ref="B9:C9"/>
    <mergeCell ref="B10:C10"/>
    <mergeCell ref="B11:C11"/>
    <mergeCell ref="A11:A14"/>
    <mergeCell ref="A17:A20"/>
    <mergeCell ref="B12:B14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ColWidth="9.140625" defaultRowHeight="12.75" x14ac:dyDescent="0.2"/>
  <cols>
    <col min="1" max="1" width="7.7109375" style="1" customWidth="1"/>
    <col min="2" max="2" width="6.7109375" style="20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7109375" style="2" customWidth="1"/>
    <col min="11" max="11" width="14.7109375" style="2" customWidth="1"/>
    <col min="12" max="12" width="14.7109375" style="4" customWidth="1"/>
    <col min="13" max="14" width="9.7109375" style="5" customWidth="1"/>
    <col min="15" max="16384" width="9.140625" style="1"/>
  </cols>
  <sheetData>
    <row r="1" spans="1:15" ht="15" x14ac:dyDescent="0.25">
      <c r="N1" s="6"/>
    </row>
    <row r="2" spans="1:15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70"/>
    </row>
    <row r="3" spans="1:15" ht="15" customHeight="1" x14ac:dyDescent="0.2"/>
    <row r="4" spans="1:15" ht="20.100000000000001" customHeight="1" x14ac:dyDescent="0.3">
      <c r="A4" s="7" t="s">
        <v>281</v>
      </c>
      <c r="M4" s="8"/>
    </row>
    <row r="5" spans="1:15" ht="15" customHeight="1" thickBot="1" x14ac:dyDescent="0.35">
      <c r="A5" s="7"/>
      <c r="N5" s="8" t="s">
        <v>0</v>
      </c>
    </row>
    <row r="6" spans="1:15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15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15" s="18" customFormat="1" ht="20.100000000000001" customHeight="1" thickBot="1" x14ac:dyDescent="0.3">
      <c r="A8" s="9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15" ht="29.25" customHeight="1" x14ac:dyDescent="0.2">
      <c r="A9" s="491">
        <v>2143</v>
      </c>
      <c r="B9" s="1570" t="s">
        <v>282</v>
      </c>
      <c r="C9" s="1571"/>
      <c r="D9" s="541">
        <v>16700</v>
      </c>
      <c r="E9" s="542">
        <v>12584.18</v>
      </c>
      <c r="F9" s="543">
        <v>16280</v>
      </c>
      <c r="G9" s="518">
        <v>22424.52</v>
      </c>
      <c r="H9" s="544">
        <f>16187.31+3</f>
        <v>16190.31</v>
      </c>
      <c r="I9" s="545">
        <v>13000</v>
      </c>
      <c r="J9" s="546">
        <f>800+500</f>
        <v>1300</v>
      </c>
      <c r="K9" s="547">
        <v>5980</v>
      </c>
      <c r="L9" s="366">
        <f>+I9+J9+K9</f>
        <v>20280</v>
      </c>
      <c r="M9" s="798">
        <f>L9/F9*100</f>
        <v>124.57002457002457</v>
      </c>
      <c r="N9" s="799">
        <f>L9/G9*100</f>
        <v>90.436718377918453</v>
      </c>
      <c r="O9" s="792"/>
    </row>
    <row r="10" spans="1:15" ht="29.25" customHeight="1" x14ac:dyDescent="0.2">
      <c r="A10" s="1094">
        <v>2143</v>
      </c>
      <c r="B10" s="1572" t="s">
        <v>449</v>
      </c>
      <c r="C10" s="1573"/>
      <c r="D10" s="1095">
        <v>0</v>
      </c>
      <c r="E10" s="376">
        <v>0</v>
      </c>
      <c r="F10" s="1096">
        <v>0</v>
      </c>
      <c r="G10" s="1097">
        <v>0</v>
      </c>
      <c r="H10" s="1098">
        <v>0</v>
      </c>
      <c r="I10" s="1099">
        <v>0</v>
      </c>
      <c r="J10" s="982">
        <v>4000</v>
      </c>
      <c r="K10" s="1100">
        <v>0</v>
      </c>
      <c r="L10" s="461">
        <f>+I10+J10+K10</f>
        <v>4000</v>
      </c>
      <c r="M10" s="800" t="s">
        <v>159</v>
      </c>
      <c r="N10" s="1101" t="s">
        <v>159</v>
      </c>
      <c r="O10" s="792"/>
    </row>
    <row r="11" spans="1:15" ht="15" x14ac:dyDescent="0.2">
      <c r="A11" s="1568">
        <v>2143</v>
      </c>
      <c r="B11" s="1572" t="s">
        <v>283</v>
      </c>
      <c r="C11" s="1573"/>
      <c r="D11" s="493">
        <v>4100</v>
      </c>
      <c r="E11" s="378">
        <v>562.13</v>
      </c>
      <c r="F11" s="497">
        <v>1750</v>
      </c>
      <c r="G11" s="498">
        <v>3611</v>
      </c>
      <c r="H11" s="505">
        <v>353.42</v>
      </c>
      <c r="I11" s="548">
        <v>0</v>
      </c>
      <c r="J11" s="501">
        <v>1500</v>
      </c>
      <c r="K11" s="502">
        <v>0</v>
      </c>
      <c r="L11" s="373">
        <f t="shared" ref="L11:L37" si="0">+I11+J11+K11</f>
        <v>1500</v>
      </c>
      <c r="M11" s="800">
        <f>L11/F11*100</f>
        <v>85.714285714285708</v>
      </c>
      <c r="N11" s="801">
        <f>L11/G11*100</f>
        <v>41.539739684297977</v>
      </c>
      <c r="O11" s="184"/>
    </row>
    <row r="12" spans="1:15" ht="15" x14ac:dyDescent="0.2">
      <c r="A12" s="1569"/>
      <c r="B12" s="1018" t="s">
        <v>133</v>
      </c>
      <c r="C12" s="608" t="s">
        <v>234</v>
      </c>
      <c r="D12" s="238">
        <v>1000</v>
      </c>
      <c r="E12" s="248">
        <v>62.03</v>
      </c>
      <c r="F12" s="805">
        <v>0</v>
      </c>
      <c r="G12" s="604">
        <v>0</v>
      </c>
      <c r="H12" s="618">
        <v>0</v>
      </c>
      <c r="I12" s="741">
        <v>0</v>
      </c>
      <c r="J12" s="742">
        <v>0</v>
      </c>
      <c r="K12" s="743">
        <v>0</v>
      </c>
      <c r="L12" s="379">
        <f t="shared" si="0"/>
        <v>0</v>
      </c>
      <c r="M12" s="795" t="s">
        <v>159</v>
      </c>
      <c r="N12" s="794" t="s">
        <v>159</v>
      </c>
      <c r="O12" s="184"/>
    </row>
    <row r="13" spans="1:15" ht="15" x14ac:dyDescent="0.2">
      <c r="A13" s="416">
        <v>2143</v>
      </c>
      <c r="B13" s="1566" t="s">
        <v>284</v>
      </c>
      <c r="C13" s="1567"/>
      <c r="D13" s="493">
        <v>3000</v>
      </c>
      <c r="E13" s="378">
        <v>56.63</v>
      </c>
      <c r="F13" s="497">
        <v>1500</v>
      </c>
      <c r="G13" s="498">
        <v>7366.56</v>
      </c>
      <c r="H13" s="505">
        <v>115.43</v>
      </c>
      <c r="I13" s="548">
        <v>0</v>
      </c>
      <c r="J13" s="501">
        <v>1000</v>
      </c>
      <c r="K13" s="502">
        <v>500</v>
      </c>
      <c r="L13" s="373">
        <f t="shared" si="0"/>
        <v>1500</v>
      </c>
      <c r="M13" s="802">
        <f>L13/F13*100</f>
        <v>100</v>
      </c>
      <c r="N13" s="801">
        <f t="shared" ref="N13:N33" si="1">L13/G13*100</f>
        <v>20.3622857887535</v>
      </c>
      <c r="O13" s="184"/>
    </row>
    <row r="14" spans="1:15" ht="15" x14ac:dyDescent="0.2">
      <c r="A14" s="416">
        <v>2143</v>
      </c>
      <c r="B14" s="1566" t="s">
        <v>285</v>
      </c>
      <c r="C14" s="1567"/>
      <c r="D14" s="493">
        <v>1500</v>
      </c>
      <c r="E14" s="378">
        <v>1500</v>
      </c>
      <c r="F14" s="497">
        <v>1500</v>
      </c>
      <c r="G14" s="498">
        <v>1500</v>
      </c>
      <c r="H14" s="505">
        <v>1500</v>
      </c>
      <c r="I14" s="548">
        <v>0</v>
      </c>
      <c r="J14" s="501">
        <v>1500</v>
      </c>
      <c r="K14" s="502">
        <v>0</v>
      </c>
      <c r="L14" s="373">
        <f t="shared" si="0"/>
        <v>1500</v>
      </c>
      <c r="M14" s="802">
        <f t="shared" ref="M14:M29" si="2">L14/F14*100</f>
        <v>100</v>
      </c>
      <c r="N14" s="801">
        <f t="shared" si="1"/>
        <v>100</v>
      </c>
      <c r="O14" s="184"/>
    </row>
    <row r="15" spans="1:15" ht="15" x14ac:dyDescent="0.2">
      <c r="A15" s="492">
        <v>2143</v>
      </c>
      <c r="B15" s="1566" t="s">
        <v>286</v>
      </c>
      <c r="C15" s="1567"/>
      <c r="D15" s="493">
        <v>2700</v>
      </c>
      <c r="E15" s="378">
        <v>800</v>
      </c>
      <c r="F15" s="497">
        <v>3000</v>
      </c>
      <c r="G15" s="498">
        <v>3000</v>
      </c>
      <c r="H15" s="505">
        <v>0</v>
      </c>
      <c r="I15" s="548">
        <v>0</v>
      </c>
      <c r="J15" s="501">
        <v>0</v>
      </c>
      <c r="K15" s="502">
        <v>0</v>
      </c>
      <c r="L15" s="373">
        <f t="shared" si="0"/>
        <v>0</v>
      </c>
      <c r="M15" s="802">
        <f t="shared" si="2"/>
        <v>0</v>
      </c>
      <c r="N15" s="801">
        <f t="shared" si="1"/>
        <v>0</v>
      </c>
      <c r="O15" s="184"/>
    </row>
    <row r="16" spans="1:15" ht="15" x14ac:dyDescent="0.2">
      <c r="A16" s="492">
        <v>2143</v>
      </c>
      <c r="B16" s="1566" t="s">
        <v>287</v>
      </c>
      <c r="C16" s="1567"/>
      <c r="D16" s="493">
        <v>700</v>
      </c>
      <c r="E16" s="378">
        <v>700</v>
      </c>
      <c r="F16" s="497">
        <v>700</v>
      </c>
      <c r="G16" s="498">
        <v>700</v>
      </c>
      <c r="H16" s="499">
        <v>700</v>
      </c>
      <c r="I16" s="500">
        <v>0</v>
      </c>
      <c r="J16" s="501">
        <v>0</v>
      </c>
      <c r="K16" s="502">
        <v>700</v>
      </c>
      <c r="L16" s="373">
        <f t="shared" si="0"/>
        <v>700</v>
      </c>
      <c r="M16" s="802">
        <f>L16/F16*100</f>
        <v>100</v>
      </c>
      <c r="N16" s="801">
        <f>L16/G16*100</f>
        <v>100</v>
      </c>
      <c r="O16" s="184"/>
    </row>
    <row r="17" spans="1:15" ht="15" x14ac:dyDescent="0.2">
      <c r="A17" s="492">
        <v>2143</v>
      </c>
      <c r="B17" s="1566" t="s">
        <v>280</v>
      </c>
      <c r="C17" s="1567"/>
      <c r="D17" s="493">
        <v>1000</v>
      </c>
      <c r="E17" s="378">
        <v>0</v>
      </c>
      <c r="F17" s="497">
        <v>0</v>
      </c>
      <c r="G17" s="498">
        <v>0</v>
      </c>
      <c r="H17" s="499">
        <v>0</v>
      </c>
      <c r="I17" s="500">
        <v>0</v>
      </c>
      <c r="J17" s="501">
        <v>0</v>
      </c>
      <c r="K17" s="502">
        <v>0</v>
      </c>
      <c r="L17" s="373">
        <f t="shared" si="0"/>
        <v>0</v>
      </c>
      <c r="M17" s="802" t="s">
        <v>159</v>
      </c>
      <c r="N17" s="801" t="s">
        <v>159</v>
      </c>
      <c r="O17" s="184"/>
    </row>
    <row r="18" spans="1:15" ht="30" customHeight="1" x14ac:dyDescent="0.2">
      <c r="A18" s="492">
        <v>2143</v>
      </c>
      <c r="B18" s="1566" t="s">
        <v>314</v>
      </c>
      <c r="C18" s="1567"/>
      <c r="D18" s="493">
        <v>2000</v>
      </c>
      <c r="E18" s="378">
        <v>0</v>
      </c>
      <c r="F18" s="497">
        <v>0</v>
      </c>
      <c r="G18" s="498">
        <v>0</v>
      </c>
      <c r="H18" s="505">
        <v>0</v>
      </c>
      <c r="I18" s="548">
        <v>0</v>
      </c>
      <c r="J18" s="501">
        <v>0</v>
      </c>
      <c r="K18" s="502">
        <v>0</v>
      </c>
      <c r="L18" s="373">
        <f t="shared" si="0"/>
        <v>0</v>
      </c>
      <c r="M18" s="803" t="s">
        <v>159</v>
      </c>
      <c r="N18" s="801" t="s">
        <v>159</v>
      </c>
      <c r="O18" s="184"/>
    </row>
    <row r="19" spans="1:15" ht="28.5" customHeight="1" x14ac:dyDescent="0.2">
      <c r="A19" s="1568">
        <v>2143</v>
      </c>
      <c r="B19" s="1566" t="s">
        <v>288</v>
      </c>
      <c r="C19" s="1567"/>
      <c r="D19" s="493">
        <v>24600</v>
      </c>
      <c r="E19" s="378">
        <v>30201</v>
      </c>
      <c r="F19" s="497">
        <v>31270</v>
      </c>
      <c r="G19" s="498">
        <v>40528.949999999997</v>
      </c>
      <c r="H19" s="499">
        <v>25430.83</v>
      </c>
      <c r="I19" s="500">
        <f>SUM(I20:I22)</f>
        <v>41713</v>
      </c>
      <c r="J19" s="500">
        <f t="shared" ref="J19:K19" si="3">SUM(J20:J22)</f>
        <v>13308</v>
      </c>
      <c r="K19" s="500">
        <f t="shared" si="3"/>
        <v>0</v>
      </c>
      <c r="L19" s="373">
        <f t="shared" si="0"/>
        <v>55021</v>
      </c>
      <c r="M19" s="804">
        <f>L19/F19*100</f>
        <v>175.95458906299967</v>
      </c>
      <c r="N19" s="801">
        <f t="shared" si="1"/>
        <v>135.75727967292516</v>
      </c>
      <c r="O19" s="184"/>
    </row>
    <row r="20" spans="1:15" ht="15" x14ac:dyDescent="0.2">
      <c r="A20" s="1574"/>
      <c r="B20" s="1575" t="s">
        <v>133</v>
      </c>
      <c r="C20" s="608" t="s">
        <v>208</v>
      </c>
      <c r="D20" s="806">
        <v>14324</v>
      </c>
      <c r="E20" s="248">
        <v>18005</v>
      </c>
      <c r="F20" s="805">
        <v>20344</v>
      </c>
      <c r="G20" s="604">
        <v>20344</v>
      </c>
      <c r="H20" s="796">
        <v>14866.45</v>
      </c>
      <c r="I20" s="791">
        <v>22000</v>
      </c>
      <c r="J20" s="742">
        <v>12698</v>
      </c>
      <c r="K20" s="743">
        <v>0</v>
      </c>
      <c r="L20" s="379">
        <f t="shared" si="0"/>
        <v>34698</v>
      </c>
      <c r="M20" s="797">
        <f>L20/F20*100</f>
        <v>170.55642941407788</v>
      </c>
      <c r="N20" s="794">
        <f t="shared" si="1"/>
        <v>170.55642941407788</v>
      </c>
      <c r="O20" s="908"/>
    </row>
    <row r="21" spans="1:15" ht="15" x14ac:dyDescent="0.2">
      <c r="A21" s="1574"/>
      <c r="B21" s="1576"/>
      <c r="C21" s="608" t="s">
        <v>209</v>
      </c>
      <c r="D21" s="806">
        <v>9748</v>
      </c>
      <c r="E21" s="248">
        <v>11668</v>
      </c>
      <c r="F21" s="805">
        <v>9455</v>
      </c>
      <c r="G21" s="604">
        <v>18713.95</v>
      </c>
      <c r="H21" s="796">
        <v>10564.38</v>
      </c>
      <c r="I21" s="791">
        <v>18713</v>
      </c>
      <c r="J21" s="742">
        <v>0</v>
      </c>
      <c r="K21" s="743">
        <v>0</v>
      </c>
      <c r="L21" s="379">
        <f t="shared" si="0"/>
        <v>18713</v>
      </c>
      <c r="M21" s="797">
        <f>L21/F21*100</f>
        <v>197.91644632469593</v>
      </c>
      <c r="N21" s="794">
        <f t="shared" si="1"/>
        <v>99.994923573056454</v>
      </c>
      <c r="O21" s="908"/>
    </row>
    <row r="22" spans="1:15" ht="15" x14ac:dyDescent="0.2">
      <c r="A22" s="1569"/>
      <c r="B22" s="1577"/>
      <c r="C22" s="608" t="s">
        <v>210</v>
      </c>
      <c r="D22" s="806">
        <v>528</v>
      </c>
      <c r="E22" s="248">
        <v>528</v>
      </c>
      <c r="F22" s="805">
        <v>1471</v>
      </c>
      <c r="G22" s="604">
        <v>1471</v>
      </c>
      <c r="H22" s="796">
        <v>0</v>
      </c>
      <c r="I22" s="791">
        <v>1000</v>
      </c>
      <c r="J22" s="742">
        <v>610</v>
      </c>
      <c r="K22" s="743">
        <v>0</v>
      </c>
      <c r="L22" s="379">
        <f t="shared" si="0"/>
        <v>1610</v>
      </c>
      <c r="M22" s="797">
        <f>L22/F22*100</f>
        <v>109.44935418082937</v>
      </c>
      <c r="N22" s="794">
        <f t="shared" si="1"/>
        <v>109.44935418082937</v>
      </c>
      <c r="O22" s="908"/>
    </row>
    <row r="23" spans="1:15" ht="29.25" customHeight="1" x14ac:dyDescent="0.2">
      <c r="A23" s="492">
        <v>2510</v>
      </c>
      <c r="B23" s="1566" t="s">
        <v>289</v>
      </c>
      <c r="C23" s="1567"/>
      <c r="D23" s="493">
        <v>3000</v>
      </c>
      <c r="E23" s="378">
        <v>1427.5</v>
      </c>
      <c r="F23" s="497">
        <v>3000</v>
      </c>
      <c r="G23" s="498">
        <v>3477.79</v>
      </c>
      <c r="H23" s="499">
        <v>1239</v>
      </c>
      <c r="I23" s="500">
        <v>0</v>
      </c>
      <c r="J23" s="501">
        <v>2000</v>
      </c>
      <c r="K23" s="502">
        <v>500</v>
      </c>
      <c r="L23" s="373">
        <f t="shared" si="0"/>
        <v>2500</v>
      </c>
      <c r="M23" s="804">
        <f>L23/F23*100</f>
        <v>83.333333333333343</v>
      </c>
      <c r="N23" s="801">
        <f t="shared" si="1"/>
        <v>71.884731395512674</v>
      </c>
      <c r="O23" s="184"/>
    </row>
    <row r="24" spans="1:15" ht="45" customHeight="1" x14ac:dyDescent="0.2">
      <c r="A24" s="492">
        <v>3636</v>
      </c>
      <c r="B24" s="1566" t="s">
        <v>290</v>
      </c>
      <c r="C24" s="1567"/>
      <c r="D24" s="493">
        <v>0</v>
      </c>
      <c r="E24" s="378">
        <v>0</v>
      </c>
      <c r="F24" s="497">
        <v>2242</v>
      </c>
      <c r="G24" s="498">
        <v>2129.8000000000002</v>
      </c>
      <c r="H24" s="499">
        <v>0</v>
      </c>
      <c r="I24" s="500">
        <v>0</v>
      </c>
      <c r="J24" s="501">
        <v>0</v>
      </c>
      <c r="K24" s="502">
        <v>0</v>
      </c>
      <c r="L24" s="373">
        <f t="shared" si="0"/>
        <v>0</v>
      </c>
      <c r="M24" s="802" t="s">
        <v>159</v>
      </c>
      <c r="N24" s="801" t="s">
        <v>159</v>
      </c>
      <c r="O24" s="184"/>
    </row>
    <row r="25" spans="1:15" ht="29.25" customHeight="1" x14ac:dyDescent="0.2">
      <c r="A25" s="492">
        <v>3636</v>
      </c>
      <c r="B25" s="1566" t="s">
        <v>405</v>
      </c>
      <c r="C25" s="1567"/>
      <c r="D25" s="493">
        <v>0</v>
      </c>
      <c r="E25" s="378">
        <v>0</v>
      </c>
      <c r="F25" s="497">
        <v>0</v>
      </c>
      <c r="G25" s="498">
        <v>224.4</v>
      </c>
      <c r="H25" s="499">
        <v>112.2</v>
      </c>
      <c r="I25" s="500">
        <v>0</v>
      </c>
      <c r="J25" s="501">
        <v>0</v>
      </c>
      <c r="K25" s="502">
        <v>0</v>
      </c>
      <c r="L25" s="373">
        <f t="shared" si="0"/>
        <v>0</v>
      </c>
      <c r="M25" s="802" t="s">
        <v>159</v>
      </c>
      <c r="N25" s="801" t="s">
        <v>159</v>
      </c>
      <c r="O25" s="184"/>
    </row>
    <row r="26" spans="1:15" ht="15" customHeight="1" x14ac:dyDescent="0.2">
      <c r="A26" s="492">
        <v>3636</v>
      </c>
      <c r="B26" s="1566" t="s">
        <v>403</v>
      </c>
      <c r="C26" s="1567"/>
      <c r="D26" s="493">
        <v>0</v>
      </c>
      <c r="E26" s="378">
        <v>0</v>
      </c>
      <c r="F26" s="497">
        <v>0</v>
      </c>
      <c r="G26" s="498">
        <v>6000</v>
      </c>
      <c r="H26" s="499">
        <v>0</v>
      </c>
      <c r="I26" s="500">
        <v>0</v>
      </c>
      <c r="J26" s="501">
        <v>0</v>
      </c>
      <c r="K26" s="502">
        <v>0</v>
      </c>
      <c r="L26" s="373">
        <f t="shared" si="0"/>
        <v>0</v>
      </c>
      <c r="M26" s="802" t="s">
        <v>71</v>
      </c>
      <c r="N26" s="801">
        <f>L26/G26*100</f>
        <v>0</v>
      </c>
      <c r="O26" s="184"/>
    </row>
    <row r="27" spans="1:15" ht="15" x14ac:dyDescent="0.2">
      <c r="A27" s="492">
        <v>2510</v>
      </c>
      <c r="B27" s="1566" t="s">
        <v>291</v>
      </c>
      <c r="C27" s="1567"/>
      <c r="D27" s="493">
        <v>20700</v>
      </c>
      <c r="E27" s="378">
        <v>20708.22</v>
      </c>
      <c r="F27" s="497">
        <v>32907</v>
      </c>
      <c r="G27" s="498">
        <v>32912</v>
      </c>
      <c r="H27" s="499">
        <v>32907.629999999997</v>
      </c>
      <c r="I27" s="500">
        <v>0</v>
      </c>
      <c r="J27" s="501">
        <v>31907</v>
      </c>
      <c r="K27" s="502">
        <v>0</v>
      </c>
      <c r="L27" s="373">
        <f t="shared" si="0"/>
        <v>31907</v>
      </c>
      <c r="M27" s="802">
        <f>L27/F27*100</f>
        <v>96.961132889658728</v>
      </c>
      <c r="N27" s="801">
        <f>L27/G27*100</f>
        <v>96.946402527953339</v>
      </c>
      <c r="O27" s="184"/>
    </row>
    <row r="28" spans="1:15" ht="27" customHeight="1" x14ac:dyDescent="0.2">
      <c r="A28" s="492">
        <v>2510</v>
      </c>
      <c r="B28" s="1566" t="s">
        <v>292</v>
      </c>
      <c r="C28" s="1567"/>
      <c r="D28" s="493">
        <v>0</v>
      </c>
      <c r="E28" s="378">
        <v>0</v>
      </c>
      <c r="F28" s="497">
        <v>5000</v>
      </c>
      <c r="G28" s="498">
        <v>5000</v>
      </c>
      <c r="H28" s="505">
        <v>5000</v>
      </c>
      <c r="I28" s="548">
        <v>0</v>
      </c>
      <c r="J28" s="501">
        <v>5000</v>
      </c>
      <c r="K28" s="502">
        <v>0</v>
      </c>
      <c r="L28" s="373">
        <f t="shared" si="0"/>
        <v>5000</v>
      </c>
      <c r="M28" s="802">
        <f t="shared" si="2"/>
        <v>100</v>
      </c>
      <c r="N28" s="801">
        <f>L28/G28*100</f>
        <v>100</v>
      </c>
      <c r="O28" s="184"/>
    </row>
    <row r="29" spans="1:15" ht="30" customHeight="1" x14ac:dyDescent="0.2">
      <c r="A29" s="492">
        <v>2510</v>
      </c>
      <c r="B29" s="1566" t="s">
        <v>293</v>
      </c>
      <c r="C29" s="1567"/>
      <c r="D29" s="493">
        <v>5000</v>
      </c>
      <c r="E29" s="378">
        <v>5000</v>
      </c>
      <c r="F29" s="497">
        <v>5000</v>
      </c>
      <c r="G29" s="498">
        <v>5000</v>
      </c>
      <c r="H29" s="505">
        <v>5000</v>
      </c>
      <c r="I29" s="548">
        <v>0</v>
      </c>
      <c r="J29" s="501">
        <v>5000</v>
      </c>
      <c r="K29" s="502">
        <v>0</v>
      </c>
      <c r="L29" s="373">
        <f t="shared" si="0"/>
        <v>5000</v>
      </c>
      <c r="M29" s="802">
        <f t="shared" si="2"/>
        <v>100</v>
      </c>
      <c r="N29" s="801">
        <f>L29/G29*100</f>
        <v>100</v>
      </c>
      <c r="O29" s="184"/>
    </row>
    <row r="30" spans="1:15" ht="15" x14ac:dyDescent="0.2">
      <c r="A30" s="492">
        <v>2143</v>
      </c>
      <c r="B30" s="1566" t="s">
        <v>315</v>
      </c>
      <c r="C30" s="1567"/>
      <c r="D30" s="493">
        <v>0</v>
      </c>
      <c r="E30" s="378">
        <v>665.5</v>
      </c>
      <c r="F30" s="497">
        <v>0</v>
      </c>
      <c r="G30" s="498">
        <v>0</v>
      </c>
      <c r="H30" s="505">
        <v>0</v>
      </c>
      <c r="I30" s="548">
        <v>0</v>
      </c>
      <c r="J30" s="501">
        <v>0</v>
      </c>
      <c r="K30" s="502">
        <v>0</v>
      </c>
      <c r="L30" s="373">
        <f t="shared" si="0"/>
        <v>0</v>
      </c>
      <c r="M30" s="802" t="s">
        <v>71</v>
      </c>
      <c r="N30" s="801" t="s">
        <v>159</v>
      </c>
      <c r="O30" s="184"/>
    </row>
    <row r="31" spans="1:15" ht="15" x14ac:dyDescent="0.2">
      <c r="A31" s="492">
        <v>2510</v>
      </c>
      <c r="B31" s="1566" t="s">
        <v>404</v>
      </c>
      <c r="C31" s="1567"/>
      <c r="D31" s="493">
        <v>0</v>
      </c>
      <c r="E31" s="378">
        <v>0</v>
      </c>
      <c r="F31" s="497">
        <v>0</v>
      </c>
      <c r="G31" s="498">
        <v>1300</v>
      </c>
      <c r="H31" s="505">
        <v>1300</v>
      </c>
      <c r="I31" s="548">
        <v>0</v>
      </c>
      <c r="J31" s="501">
        <v>1500</v>
      </c>
      <c r="K31" s="502">
        <v>0</v>
      </c>
      <c r="L31" s="373">
        <f t="shared" si="0"/>
        <v>1500</v>
      </c>
      <c r="M31" s="802" t="s">
        <v>159</v>
      </c>
      <c r="N31" s="801">
        <f>L31/G31*100</f>
        <v>115.38461538461537</v>
      </c>
      <c r="O31" s="184"/>
    </row>
    <row r="32" spans="1:15" ht="15" x14ac:dyDescent="0.2">
      <c r="A32" s="416">
        <v>6172</v>
      </c>
      <c r="B32" s="1566" t="s">
        <v>294</v>
      </c>
      <c r="C32" s="1567"/>
      <c r="D32" s="493">
        <v>2050</v>
      </c>
      <c r="E32" s="378">
        <v>2050</v>
      </c>
      <c r="F32" s="497">
        <v>4000</v>
      </c>
      <c r="G32" s="498">
        <v>4000</v>
      </c>
      <c r="H32" s="505">
        <v>4000</v>
      </c>
      <c r="I32" s="548">
        <v>3000</v>
      </c>
      <c r="J32" s="501">
        <v>0</v>
      </c>
      <c r="K32" s="502">
        <v>0</v>
      </c>
      <c r="L32" s="373">
        <f t="shared" si="0"/>
        <v>3000</v>
      </c>
      <c r="M32" s="802">
        <f>L32/F32*100</f>
        <v>75</v>
      </c>
      <c r="N32" s="801">
        <f>L32/G32*100</f>
        <v>75</v>
      </c>
      <c r="O32" s="793"/>
    </row>
    <row r="33" spans="1:15" ht="15" x14ac:dyDescent="0.2">
      <c r="A33" s="416">
        <v>2143</v>
      </c>
      <c r="B33" s="1566" t="s">
        <v>295</v>
      </c>
      <c r="C33" s="1567"/>
      <c r="D33" s="493">
        <v>1000</v>
      </c>
      <c r="E33" s="378">
        <v>0</v>
      </c>
      <c r="F33" s="497">
        <v>1000</v>
      </c>
      <c r="G33" s="498">
        <v>2000</v>
      </c>
      <c r="H33" s="505">
        <v>2000</v>
      </c>
      <c r="I33" s="548">
        <v>2000</v>
      </c>
      <c r="J33" s="501">
        <v>2000</v>
      </c>
      <c r="K33" s="502">
        <v>0</v>
      </c>
      <c r="L33" s="373">
        <f t="shared" si="0"/>
        <v>4000</v>
      </c>
      <c r="M33" s="802">
        <f>L33/F33*100</f>
        <v>400</v>
      </c>
      <c r="N33" s="801">
        <f t="shared" si="1"/>
        <v>200</v>
      </c>
      <c r="O33" s="793"/>
    </row>
    <row r="34" spans="1:15" ht="15" x14ac:dyDescent="0.2">
      <c r="A34" s="492">
        <v>3419</v>
      </c>
      <c r="B34" s="1566" t="s">
        <v>296</v>
      </c>
      <c r="C34" s="1567"/>
      <c r="D34" s="493">
        <v>0</v>
      </c>
      <c r="E34" s="378">
        <v>4646.51</v>
      </c>
      <c r="F34" s="497">
        <v>6200</v>
      </c>
      <c r="G34" s="498">
        <v>18261.259999999998</v>
      </c>
      <c r="H34" s="505">
        <v>1796.43</v>
      </c>
      <c r="I34" s="548">
        <v>0</v>
      </c>
      <c r="J34" s="501">
        <v>6200</v>
      </c>
      <c r="K34" s="502">
        <v>0</v>
      </c>
      <c r="L34" s="373">
        <f t="shared" si="0"/>
        <v>6200</v>
      </c>
      <c r="M34" s="802">
        <f>L34/F34*100</f>
        <v>100</v>
      </c>
      <c r="N34" s="801">
        <f>L34/G34*100</f>
        <v>33.951655033661424</v>
      </c>
      <c r="O34" s="793"/>
    </row>
    <row r="35" spans="1:15" ht="15" x14ac:dyDescent="0.2">
      <c r="A35" s="492">
        <v>3419</v>
      </c>
      <c r="B35" s="1566" t="s">
        <v>218</v>
      </c>
      <c r="C35" s="1567"/>
      <c r="D35" s="493">
        <v>0</v>
      </c>
      <c r="E35" s="378">
        <v>27557.5</v>
      </c>
      <c r="F35" s="497">
        <v>32000</v>
      </c>
      <c r="G35" s="498">
        <v>33801.254000000001</v>
      </c>
      <c r="H35" s="505">
        <v>27375</v>
      </c>
      <c r="I35" s="548">
        <v>0</v>
      </c>
      <c r="J35" s="501">
        <v>32000</v>
      </c>
      <c r="K35" s="502">
        <v>0</v>
      </c>
      <c r="L35" s="373">
        <f t="shared" si="0"/>
        <v>32000</v>
      </c>
      <c r="M35" s="802">
        <f t="shared" ref="M35" si="4">L35/F35*100</f>
        <v>100</v>
      </c>
      <c r="N35" s="801">
        <f>L35/G35*100</f>
        <v>94.671043861272125</v>
      </c>
      <c r="O35" s="793"/>
    </row>
    <row r="36" spans="1:15" ht="15" x14ac:dyDescent="0.2">
      <c r="A36" s="492">
        <v>3419</v>
      </c>
      <c r="B36" s="1566" t="s">
        <v>297</v>
      </c>
      <c r="C36" s="1567"/>
      <c r="D36" s="493">
        <v>0</v>
      </c>
      <c r="E36" s="378">
        <v>183</v>
      </c>
      <c r="F36" s="497">
        <v>1000</v>
      </c>
      <c r="G36" s="498">
        <v>5146.4809999999998</v>
      </c>
      <c r="H36" s="505">
        <v>2106.81</v>
      </c>
      <c r="I36" s="548">
        <v>0</v>
      </c>
      <c r="J36" s="484">
        <v>1000</v>
      </c>
      <c r="K36" s="502">
        <v>0</v>
      </c>
      <c r="L36" s="373">
        <f t="shared" si="0"/>
        <v>1000</v>
      </c>
      <c r="M36" s="802">
        <f>L36/F36*100</f>
        <v>100</v>
      </c>
      <c r="N36" s="801">
        <f>L36/G36*100</f>
        <v>19.430752780394993</v>
      </c>
      <c r="O36" s="19"/>
    </row>
    <row r="37" spans="1:15" ht="15.75" thickBot="1" x14ac:dyDescent="0.25">
      <c r="A37" s="1199">
        <v>3421</v>
      </c>
      <c r="B37" s="1566" t="s">
        <v>298</v>
      </c>
      <c r="C37" s="1567"/>
      <c r="D37" s="1238">
        <v>0</v>
      </c>
      <c r="E37" s="381">
        <v>399.04</v>
      </c>
      <c r="F37" s="1239">
        <v>0</v>
      </c>
      <c r="G37" s="523">
        <v>0</v>
      </c>
      <c r="H37" s="1240">
        <v>0</v>
      </c>
      <c r="I37" s="949">
        <v>0</v>
      </c>
      <c r="J37" s="950">
        <v>0</v>
      </c>
      <c r="K37" s="1241">
        <v>0</v>
      </c>
      <c r="L37" s="753">
        <f t="shared" si="0"/>
        <v>0</v>
      </c>
      <c r="M37" s="889" t="s">
        <v>71</v>
      </c>
      <c r="N37" s="890" t="s">
        <v>71</v>
      </c>
      <c r="O37" s="19"/>
    </row>
    <row r="38" spans="1:15" ht="16.5" thickBot="1" x14ac:dyDescent="0.3">
      <c r="A38" s="963"/>
      <c r="B38" s="1195" t="s">
        <v>99</v>
      </c>
      <c r="C38" s="1196"/>
      <c r="D38" s="956">
        <f>SUM(D33,D32,D29,D27,D23,D19,D18,D17,D16,D15,D14,D13,D11,D9)</f>
        <v>88050</v>
      </c>
      <c r="E38" s="979">
        <f>SUM(E37,E36,E35,E34,E32,E30,E29,E27,E23,E19,E16,E15,E14,E13,E11,E9)</f>
        <v>109041.21000000002</v>
      </c>
      <c r="F38" s="976">
        <f>SUM(F36,F35,F34,F33,F32,F29,F28,F27,F24,F23,F19,F16,F15,F14,F13,F11,F9)</f>
        <v>148349</v>
      </c>
      <c r="G38" s="1006">
        <f>+G9+G11+G13+G14+G15+G16+G17+G18+G19+G23+G24+G26+G27+G28+G29+G30+G31+G32+G33+G34+G35+G36+G37+G25</f>
        <v>198384.01500000001</v>
      </c>
      <c r="H38" s="1242">
        <f>+H9+H11+H13+H14+H15+H16+H17+H18+H19+H23+H24+H26+H27+H28+H29+H30+H31+H32+H33+H34+H35+H36+H37+H25</f>
        <v>127127.05999999998</v>
      </c>
      <c r="I38" s="1008">
        <f>+I9+I11+I13+I14+I15+I16+I17+I18+I19+I23+I24+I26+I27+I28+I29+I30+I31+I32+I33+I34+I35+I36+I37+I25+I10</f>
        <v>59713</v>
      </c>
      <c r="J38" s="1009">
        <f>+J9+J11+J13+J14+J15+J16+J17+J18+J19+J23+J24+J26+J27+J28+J29+J30+J31+J32+J33+J34+J35+J36+J37+J25+J10</f>
        <v>109215</v>
      </c>
      <c r="K38" s="1015">
        <f>+K9+K11+K13+K14+K15+K16+K17+K18+K19+K23+K24+K26+K27+K28+K29+K30+K31+K32+K33+K34+K35+K36+K37+K25+K10</f>
        <v>7680</v>
      </c>
      <c r="L38" s="165">
        <f>SUM(L31:L37,L29,L28,L27,L23,L19,L16,L14,L13,L11,L9,L10)</f>
        <v>176608</v>
      </c>
      <c r="M38" s="998">
        <f>L38/F38*100</f>
        <v>119.04899931917303</v>
      </c>
      <c r="N38" s="999">
        <f>L38/G38*100</f>
        <v>89.023301600181853</v>
      </c>
      <c r="O38" s="21"/>
    </row>
    <row r="39" spans="1:15" x14ac:dyDescent="0.2">
      <c r="B39" s="1"/>
      <c r="C39" s="2"/>
      <c r="D39" s="3"/>
      <c r="E39" s="2"/>
      <c r="F39" s="3"/>
      <c r="K39" s="4"/>
      <c r="L39" s="5"/>
      <c r="N39" s="1"/>
    </row>
    <row r="40" spans="1:15" x14ac:dyDescent="0.2">
      <c r="B40" s="1"/>
      <c r="C40" s="2"/>
      <c r="D40" s="3"/>
      <c r="E40" s="2"/>
      <c r="F40" s="3"/>
      <c r="H40" s="2"/>
      <c r="K40" s="4"/>
      <c r="L40" s="5"/>
      <c r="N40" s="1"/>
    </row>
  </sheetData>
  <mergeCells count="36">
    <mergeCell ref="B37:C37"/>
    <mergeCell ref="B32:C32"/>
    <mergeCell ref="B33:C33"/>
    <mergeCell ref="B36:C36"/>
    <mergeCell ref="B34:C34"/>
    <mergeCell ref="B35:C35"/>
    <mergeCell ref="B31:C31"/>
    <mergeCell ref="A19:A22"/>
    <mergeCell ref="B28:C28"/>
    <mergeCell ref="B30:C30"/>
    <mergeCell ref="B26:C26"/>
    <mergeCell ref="B25:C25"/>
    <mergeCell ref="B23:C23"/>
    <mergeCell ref="B24:C24"/>
    <mergeCell ref="B27:C27"/>
    <mergeCell ref="B29:C29"/>
    <mergeCell ref="B20:B22"/>
    <mergeCell ref="B14:C14"/>
    <mergeCell ref="A2:O2"/>
    <mergeCell ref="A6:A7"/>
    <mergeCell ref="D6:E6"/>
    <mergeCell ref="F6:H6"/>
    <mergeCell ref="I6:L6"/>
    <mergeCell ref="M6:M7"/>
    <mergeCell ref="N6:N7"/>
    <mergeCell ref="B6:C7"/>
    <mergeCell ref="A11:A12"/>
    <mergeCell ref="B9:C9"/>
    <mergeCell ref="B11:C11"/>
    <mergeCell ref="B13:C13"/>
    <mergeCell ref="B10:C10"/>
    <mergeCell ref="B15:C15"/>
    <mergeCell ref="B16:C16"/>
    <mergeCell ref="B17:C17"/>
    <mergeCell ref="B19:C19"/>
    <mergeCell ref="B18:C18"/>
  </mergeCells>
  <printOptions horizontalCentered="1"/>
  <pageMargins left="0.59055118110236227" right="0.59055118110236227" top="0.78740157480314965" bottom="0.59055118110236227" header="0.59055118110236227" footer="0.5905511811023622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2"/>
  <sheetViews>
    <sheetView workbookViewId="0"/>
  </sheetViews>
  <sheetFormatPr defaultRowHeight="12.75" x14ac:dyDescent="0.2"/>
  <cols>
    <col min="1" max="1" width="43.140625" style="31" customWidth="1"/>
    <col min="2" max="7" width="16.7109375" style="32" customWidth="1"/>
    <col min="8" max="8" width="10.7109375" style="34" customWidth="1"/>
    <col min="9" max="16384" width="9.140625" style="31"/>
  </cols>
  <sheetData>
    <row r="1" spans="1:8" ht="15" customHeight="1" x14ac:dyDescent="0.25">
      <c r="H1" s="261"/>
    </row>
    <row r="2" spans="1:8" ht="24" customHeight="1" x14ac:dyDescent="0.35">
      <c r="A2" s="33" t="s">
        <v>150</v>
      </c>
    </row>
    <row r="3" spans="1:8" ht="15" customHeight="1" x14ac:dyDescent="0.3">
      <c r="A3" s="35"/>
    </row>
    <row r="4" spans="1:8" ht="20.100000000000001" customHeight="1" x14ac:dyDescent="0.3">
      <c r="A4" s="36" t="s">
        <v>49</v>
      </c>
    </row>
    <row r="5" spans="1:8" ht="15" customHeight="1" x14ac:dyDescent="0.25">
      <c r="A5" s="37"/>
    </row>
    <row r="6" spans="1:8" ht="15" customHeight="1" thickBot="1" x14ac:dyDescent="0.35">
      <c r="A6" s="38"/>
      <c r="H6" s="39" t="s">
        <v>0</v>
      </c>
    </row>
    <row r="7" spans="1:8" s="135" customFormat="1" ht="15.95" customHeight="1" x14ac:dyDescent="0.2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149</v>
      </c>
      <c r="H7" s="1371" t="s">
        <v>151</v>
      </c>
    </row>
    <row r="8" spans="1:8" s="135" customFormat="1" ht="27" customHeight="1" thickBot="1" x14ac:dyDescent="0.25">
      <c r="A8" s="1367"/>
      <c r="B8" s="1216" t="s">
        <v>169</v>
      </c>
      <c r="C8" s="1225" t="s">
        <v>170</v>
      </c>
      <c r="D8" s="1216" t="s">
        <v>169</v>
      </c>
      <c r="E8" s="1217" t="s">
        <v>470</v>
      </c>
      <c r="F8" s="1218" t="s">
        <v>471</v>
      </c>
      <c r="G8" s="1370"/>
      <c r="H8" s="1372"/>
    </row>
    <row r="9" spans="1:8" ht="20.25" customHeight="1" x14ac:dyDescent="0.2">
      <c r="A9" s="1280" t="s">
        <v>48</v>
      </c>
      <c r="B9" s="1281">
        <f>'Sumář příjmů a výdajů'!B10+'Sumář příjmů a výdajů'!B11+'Sumář příjmů a výdajů'!B12</f>
        <v>8902500</v>
      </c>
      <c r="C9" s="1282">
        <f>'Sumář příjmů a výdajů'!C10+'Sumář příjmů a výdajů'!C11+'Sumář příjmů a výdajů'!C12</f>
        <v>9783853.2499999981</v>
      </c>
      <c r="D9" s="1283">
        <f>'Sumář příjmů a výdajů'!D10+'Sumář příjmů a výdajů'!D11+'Sumář příjmů a výdajů'!D12</f>
        <v>9812500</v>
      </c>
      <c r="E9" s="1284">
        <f>+'Sumář příjmů a výdajů'!E10+'Sumář příjmů a výdajů'!E11+'Sumář příjmů a výdajů'!E12</f>
        <v>10230491.83</v>
      </c>
      <c r="F9" s="1285">
        <f>+'Sumář příjmů a výdajů'!F10+'Sumář příjmů a výdajů'!F11+'Sumář příjmů a výdajů'!F12</f>
        <v>7764360.1100000003</v>
      </c>
      <c r="G9" s="1286">
        <f>+'Sumář příjmů a výdajů'!G10+'Sumář příjmů a výdajů'!G11+'Sumář příjmů a výdajů'!G12</f>
        <v>10417500</v>
      </c>
      <c r="H9" s="1287">
        <f>G9/D9*100</f>
        <v>106.16560509554141</v>
      </c>
    </row>
    <row r="10" spans="1:8" ht="20.25" customHeight="1" x14ac:dyDescent="0.2">
      <c r="A10" s="1288" t="s">
        <v>47</v>
      </c>
      <c r="B10" s="1289">
        <f>'Sumář příjmů a výdajů'!B13+'Sumář příjmů a výdajů'!B14+'Sumář příjmů a výdajů'!B15+'Sumář příjmů a výdajů'!B17+'Sumář příjmů a výdajů'!B18</f>
        <v>406080</v>
      </c>
      <c r="C10" s="1290">
        <f>'Sumář příjmů a výdajů'!C13+'Sumář příjmů a výdajů'!C14+'Sumář příjmů a výdajů'!C15+'Sumář příjmů a výdajů'!C17+'Sumář příjmů a výdajů'!C18</f>
        <v>398346.72</v>
      </c>
      <c r="D10" s="1291">
        <f>'Sumář příjmů a výdajů'!D13+'Sumář příjmů a výdajů'!D14+'Sumář příjmů a výdajů'!D15+'Sumář příjmů a výdajů'!D17+'Sumář příjmů a výdajů'!D18</f>
        <v>1361017</v>
      </c>
      <c r="E10" s="1292">
        <f>+'Sumář příjmů a výdajů'!E13+'Sumář příjmů a výdajů'!E14+'Sumář příjmů a výdajů'!E15+'Sumář příjmů a výdajů'!E16+'Sumář příjmů a výdajů'!E17+'Sumář příjmů a výdajů'!E18</f>
        <v>1091928.3899999999</v>
      </c>
      <c r="F10" s="1292">
        <f>+'Sumář příjmů a výdajů'!F13+'Sumář příjmů a výdajů'!F14+'Sumář příjmů a výdajů'!F15+'Sumář příjmů a výdajů'!F16+'Sumář příjmů a výdajů'!F17+'Sumář příjmů a výdajů'!F18</f>
        <v>310770.91000000003</v>
      </c>
      <c r="G10" s="1293">
        <f>SUM('Sumář příjmů a výdajů'!G13:G18)</f>
        <v>1828668</v>
      </c>
      <c r="H10" s="1294">
        <f t="shared" ref="H10:H26" si="0">G10/D10*100</f>
        <v>134.36040842987268</v>
      </c>
    </row>
    <row r="11" spans="1:8" ht="20.25" customHeight="1" x14ac:dyDescent="0.2">
      <c r="A11" s="1288" t="s">
        <v>46</v>
      </c>
      <c r="B11" s="1289">
        <f>'Sumář příjmů a výdajů'!B19</f>
        <v>10000</v>
      </c>
      <c r="C11" s="1290">
        <f>'Sumář příjmů a výdajů'!C19</f>
        <v>17533.37</v>
      </c>
      <c r="D11" s="1291">
        <f>'Sumář příjmů a výdajů'!D19</f>
        <v>12000</v>
      </c>
      <c r="E11" s="1292">
        <f>+'Sumář příjmů a výdajů'!E19</f>
        <v>12000</v>
      </c>
      <c r="F11" s="1292">
        <f>+'Sumář příjmů a výdajů'!F19</f>
        <v>36550.5</v>
      </c>
      <c r="G11" s="1293">
        <f>+'Sumář příjmů a výdajů'!G19</f>
        <v>12000</v>
      </c>
      <c r="H11" s="1294">
        <f t="shared" si="0"/>
        <v>100</v>
      </c>
    </row>
    <row r="12" spans="1:8" ht="20.25" customHeight="1" x14ac:dyDescent="0.2">
      <c r="A12" s="1288" t="s">
        <v>123</v>
      </c>
      <c r="B12" s="1289">
        <f>'Sumář příjmů a výdajů'!B20+'Sumář příjmů a výdajů'!B21+'Sumář příjmů a výdajů'!B22+'Sumář příjmů a výdajů'!B23</f>
        <v>14029621.800000001</v>
      </c>
      <c r="C12" s="1290">
        <f>'Sumář příjmů a výdajů'!C20+'Sumář příjmů a výdajů'!C21+'Sumář příjmů a výdajů'!C22+'Sumář příjmů a výdajů'!C23</f>
        <v>17777782.52</v>
      </c>
      <c r="D12" s="1291">
        <f>'Sumář příjmů a výdajů'!D20+'Sumář příjmů a výdajů'!D21+'Sumář příjmů a výdajů'!D22+'Sumář příjmů a výdajů'!D23</f>
        <v>16142583.9</v>
      </c>
      <c r="E12" s="1292">
        <f>+'Sumář příjmů a výdajů'!E20+'Sumář příjmů a výdajů'!E21+'Sumář příjmů a výdajů'!E22+'Sumář příjmů a výdajů'!E23</f>
        <v>21258608</v>
      </c>
      <c r="F12" s="1292">
        <f>+'Sumář příjmů a výdajů'!F20+'Sumář příjmů a výdajů'!F21+'Sumář příjmů a výdajů'!F22+'Sumář příjmů a výdajů'!F23</f>
        <v>18513816.460000001</v>
      </c>
      <c r="G12" s="1293">
        <f>SUM('Sumář příjmů a výdajů'!G20:G23)</f>
        <v>19065408.899999999</v>
      </c>
      <c r="H12" s="1294">
        <f t="shared" si="0"/>
        <v>118.10630205242421</v>
      </c>
    </row>
    <row r="13" spans="1:8" s="37" customFormat="1" ht="30.2" customHeight="1" x14ac:dyDescent="0.25">
      <c r="A13" s="1295" t="s">
        <v>9</v>
      </c>
      <c r="B13" s="1296">
        <f t="shared" ref="B13:F13" si="1">SUM(B9:B12)</f>
        <v>23348201.800000001</v>
      </c>
      <c r="C13" s="1297">
        <f t="shared" si="1"/>
        <v>27977515.859999999</v>
      </c>
      <c r="D13" s="1298">
        <f t="shared" si="1"/>
        <v>27328100.899999999</v>
      </c>
      <c r="E13" s="1299">
        <f t="shared" si="1"/>
        <v>32593028.219999999</v>
      </c>
      <c r="F13" s="1300">
        <f t="shared" si="1"/>
        <v>26625497.98</v>
      </c>
      <c r="G13" s="1301">
        <f>SUM(G9:G12)</f>
        <v>31323576.899999999</v>
      </c>
      <c r="H13" s="1302">
        <f t="shared" si="0"/>
        <v>114.62039391108951</v>
      </c>
    </row>
    <row r="14" spans="1:8" s="37" customFormat="1" ht="6" customHeight="1" x14ac:dyDescent="0.25">
      <c r="A14" s="1295"/>
      <c r="B14" s="1296"/>
      <c r="C14" s="1297"/>
      <c r="D14" s="1298"/>
      <c r="E14" s="1299"/>
      <c r="F14" s="1300"/>
      <c r="G14" s="1301"/>
      <c r="H14" s="1302"/>
    </row>
    <row r="15" spans="1:8" s="37" customFormat="1" ht="20.25" customHeight="1" x14ac:dyDescent="0.25">
      <c r="A15" s="1288" t="s">
        <v>89</v>
      </c>
      <c r="B15" s="1289">
        <v>22087895.800000001</v>
      </c>
      <c r="C15" s="1290">
        <v>24770646.729999997</v>
      </c>
      <c r="D15" s="1291">
        <v>24552992.899999999</v>
      </c>
      <c r="E15" s="1292">
        <v>28850786.309999999</v>
      </c>
      <c r="F15" s="1303">
        <v>22032466.59</v>
      </c>
      <c r="G15" s="1293">
        <v>28288010.899999999</v>
      </c>
      <c r="H15" s="1294">
        <f t="shared" si="0"/>
        <v>115.2120680978163</v>
      </c>
    </row>
    <row r="16" spans="1:8" s="37" customFormat="1" ht="20.25" customHeight="1" x14ac:dyDescent="0.25">
      <c r="A16" s="1288" t="s">
        <v>90</v>
      </c>
      <c r="B16" s="1289">
        <v>1030819</v>
      </c>
      <c r="C16" s="1290">
        <v>3974072.87</v>
      </c>
      <c r="D16" s="1291">
        <v>2545621</v>
      </c>
      <c r="E16" s="1292">
        <v>6595129.0099999998</v>
      </c>
      <c r="F16" s="1303">
        <v>2967396.92</v>
      </c>
      <c r="G16" s="1293">
        <v>3496079</v>
      </c>
      <c r="H16" s="1294">
        <f t="shared" si="0"/>
        <v>137.33697985678151</v>
      </c>
    </row>
    <row r="17" spans="1:8" s="37" customFormat="1" ht="30.2" customHeight="1" x14ac:dyDescent="0.25">
      <c r="A17" s="1304" t="s">
        <v>45</v>
      </c>
      <c r="B17" s="1296">
        <f t="shared" ref="B17:G17" si="2">SUM(B15:B16)</f>
        <v>23118714.800000001</v>
      </c>
      <c r="C17" s="1297">
        <f t="shared" si="2"/>
        <v>28744719.599999998</v>
      </c>
      <c r="D17" s="1298">
        <f t="shared" si="2"/>
        <v>27098613.899999999</v>
      </c>
      <c r="E17" s="1299">
        <f t="shared" si="2"/>
        <v>35445915.32</v>
      </c>
      <c r="F17" s="1300">
        <f t="shared" si="2"/>
        <v>24999863.509999998</v>
      </c>
      <c r="G17" s="1301">
        <f t="shared" si="2"/>
        <v>31784089.899999999</v>
      </c>
      <c r="H17" s="1302">
        <f t="shared" si="0"/>
        <v>117.29046370154011</v>
      </c>
    </row>
    <row r="18" spans="1:8" s="37" customFormat="1" ht="6" customHeight="1" x14ac:dyDescent="0.25">
      <c r="A18" s="1304"/>
      <c r="B18" s="1296"/>
      <c r="C18" s="1297"/>
      <c r="D18" s="1298"/>
      <c r="E18" s="1299"/>
      <c r="F18" s="1300"/>
      <c r="G18" s="1301"/>
      <c r="H18" s="1302"/>
    </row>
    <row r="19" spans="1:8" s="37" customFormat="1" ht="30.2" customHeight="1" x14ac:dyDescent="0.25">
      <c r="A19" s="1304" t="s">
        <v>44</v>
      </c>
      <c r="B19" s="1296">
        <f t="shared" ref="B19:G19" si="3">B13-B17</f>
        <v>229487</v>
      </c>
      <c r="C19" s="1297">
        <f t="shared" si="3"/>
        <v>-767203.73999999836</v>
      </c>
      <c r="D19" s="1298">
        <f t="shared" si="3"/>
        <v>229487</v>
      </c>
      <c r="E19" s="1299">
        <f t="shared" si="3"/>
        <v>-2852887.1000000015</v>
      </c>
      <c r="F19" s="1300">
        <f t="shared" si="3"/>
        <v>1625634.4700000025</v>
      </c>
      <c r="G19" s="1301">
        <f t="shared" si="3"/>
        <v>-460513</v>
      </c>
      <c r="H19" s="1302">
        <f t="shared" si="0"/>
        <v>-200.67062622283615</v>
      </c>
    </row>
    <row r="20" spans="1:8" s="37" customFormat="1" ht="6" customHeight="1" x14ac:dyDescent="0.25">
      <c r="A20" s="1304"/>
      <c r="B20" s="1296"/>
      <c r="C20" s="1297"/>
      <c r="D20" s="1298"/>
      <c r="E20" s="1299"/>
      <c r="F20" s="1300"/>
      <c r="G20" s="1301"/>
      <c r="H20" s="1302"/>
    </row>
    <row r="21" spans="1:8" ht="20.25" customHeight="1" x14ac:dyDescent="0.2">
      <c r="A21" s="1305" t="s">
        <v>78</v>
      </c>
      <c r="B21" s="1289">
        <f>'Sumář příjmů a výdajů'!B27+'Sumář příjmů a výdajů'!B28</f>
        <v>10000</v>
      </c>
      <c r="C21" s="1290">
        <f>'Sumář příjmů a výdajů'!C27+'Sumář příjmů a výdajů'!C28</f>
        <v>1102780.3600000001</v>
      </c>
      <c r="D21" s="1291">
        <f>'Sumář příjmů a výdajů'!D27+'Sumář příjmů a výdajů'!D28</f>
        <v>10000</v>
      </c>
      <c r="E21" s="1292">
        <v>2480274.1</v>
      </c>
      <c r="F21" s="1303">
        <v>-1398585.25</v>
      </c>
      <c r="G21" s="1293">
        <f>+'Sumář příjmů a výdajů'!G28</f>
        <v>0</v>
      </c>
      <c r="H21" s="1294">
        <f t="shared" si="0"/>
        <v>0</v>
      </c>
    </row>
    <row r="22" spans="1:8" ht="20.25" customHeight="1" x14ac:dyDescent="0.2">
      <c r="A22" s="1305" t="s">
        <v>366</v>
      </c>
      <c r="B22" s="1289">
        <v>0</v>
      </c>
      <c r="C22" s="1290">
        <v>0</v>
      </c>
      <c r="D22" s="1291">
        <v>0</v>
      </c>
      <c r="E22" s="1292">
        <v>612100</v>
      </c>
      <c r="F22" s="1303">
        <v>0</v>
      </c>
      <c r="G22" s="1293">
        <f>+'Sumář příjmů a výdajů'!G29</f>
        <v>700000</v>
      </c>
      <c r="H22" s="1306" t="s">
        <v>71</v>
      </c>
    </row>
    <row r="23" spans="1:8" ht="28.5" customHeight="1" x14ac:dyDescent="0.2">
      <c r="A23" s="1305" t="s">
        <v>426</v>
      </c>
      <c r="B23" s="1289">
        <f>-'Sumář příjmů a výdajů'!B60</f>
        <v>-239487</v>
      </c>
      <c r="C23" s="1290">
        <f>-'Sumář příjmů a výdajů'!C60</f>
        <v>-239486.82</v>
      </c>
      <c r="D23" s="1291">
        <f>-'Sumář příjmů a výdajů'!D60</f>
        <v>-239487</v>
      </c>
      <c r="E23" s="1292">
        <v>-239487</v>
      </c>
      <c r="F23" s="1303">
        <v>-179615.11</v>
      </c>
      <c r="G23" s="1293">
        <f>-'Sumář příjmů a výdajů'!G60</f>
        <v>-239487</v>
      </c>
      <c r="H23" s="1294">
        <f t="shared" si="0"/>
        <v>100</v>
      </c>
    </row>
    <row r="24" spans="1:8" ht="20.25" customHeight="1" x14ac:dyDescent="0.2">
      <c r="A24" s="1305" t="s">
        <v>153</v>
      </c>
      <c r="B24" s="1289">
        <v>0</v>
      </c>
      <c r="C24" s="1290">
        <f>-'Sumář příjmů a výdajů'!C61</f>
        <v>-100000</v>
      </c>
      <c r="D24" s="1291">
        <v>0</v>
      </c>
      <c r="E24" s="1292">
        <v>0</v>
      </c>
      <c r="F24" s="1303">
        <v>0</v>
      </c>
      <c r="G24" s="1293">
        <v>0</v>
      </c>
      <c r="H24" s="1306" t="s">
        <v>71</v>
      </c>
    </row>
    <row r="25" spans="1:8" ht="20.25" customHeight="1" x14ac:dyDescent="0.2">
      <c r="A25" s="1305" t="s">
        <v>79</v>
      </c>
      <c r="B25" s="1289">
        <f>-'Sumář příjmů a výdajů'!B62</f>
        <v>0</v>
      </c>
      <c r="C25" s="1290">
        <f>+'Sumář příjmů a výdajů'!C30</f>
        <v>3910.2</v>
      </c>
      <c r="D25" s="1291">
        <f>-'Sumář příjmů a výdajů'!D62</f>
        <v>0</v>
      </c>
      <c r="E25" s="1292">
        <v>0</v>
      </c>
      <c r="F25" s="1303">
        <v>-47434.11</v>
      </c>
      <c r="G25" s="1293">
        <v>0</v>
      </c>
      <c r="H25" s="1306" t="s">
        <v>71</v>
      </c>
    </row>
    <row r="26" spans="1:8" s="37" customFormat="1" ht="30.2" customHeight="1" x14ac:dyDescent="0.25">
      <c r="A26" s="1304" t="s">
        <v>43</v>
      </c>
      <c r="B26" s="1296">
        <f t="shared" ref="B26" si="4">SUM(B21:B25)</f>
        <v>-229487</v>
      </c>
      <c r="C26" s="1297">
        <f>SUM(C21:C25)</f>
        <v>767203.74</v>
      </c>
      <c r="D26" s="1298">
        <f t="shared" ref="D26:G26" si="5">SUM(D21:D25)</f>
        <v>-229487</v>
      </c>
      <c r="E26" s="1299">
        <f t="shared" si="5"/>
        <v>2852887.1</v>
      </c>
      <c r="F26" s="1300">
        <f t="shared" si="5"/>
        <v>-1625634.47</v>
      </c>
      <c r="G26" s="1301">
        <f t="shared" si="5"/>
        <v>460513</v>
      </c>
      <c r="H26" s="1302">
        <f t="shared" si="0"/>
        <v>-200.67062622283615</v>
      </c>
    </row>
    <row r="27" spans="1:8" s="37" customFormat="1" ht="6" customHeight="1" thickBot="1" x14ac:dyDescent="0.3">
      <c r="A27" s="1307"/>
      <c r="B27" s="1308"/>
      <c r="C27" s="1309"/>
      <c r="D27" s="1310"/>
      <c r="E27" s="1311"/>
      <c r="F27" s="1312"/>
      <c r="G27" s="1313"/>
      <c r="H27" s="1314"/>
    </row>
    <row r="28" spans="1:8" s="37" customFormat="1" ht="30" customHeight="1" thickBot="1" x14ac:dyDescent="0.3">
      <c r="A28" s="1315" t="s">
        <v>17</v>
      </c>
      <c r="B28" s="1316">
        <f t="shared" ref="B28:G28" si="6">SUM(B19+B26)</f>
        <v>0</v>
      </c>
      <c r="C28" s="1317">
        <f t="shared" si="6"/>
        <v>1.6298145055770874E-9</v>
      </c>
      <c r="D28" s="1318">
        <f t="shared" si="6"/>
        <v>0</v>
      </c>
      <c r="E28" s="1319">
        <f t="shared" si="6"/>
        <v>-1.3969838619232178E-9</v>
      </c>
      <c r="F28" s="1320">
        <f t="shared" si="6"/>
        <v>2.5611370801925659E-9</v>
      </c>
      <c r="G28" s="1321">
        <f t="shared" si="6"/>
        <v>0</v>
      </c>
      <c r="H28" s="1322" t="s">
        <v>71</v>
      </c>
    </row>
    <row r="29" spans="1:8" ht="15.75" x14ac:dyDescent="0.25">
      <c r="A29" s="40"/>
    </row>
    <row r="30" spans="1:8" ht="15.75" x14ac:dyDescent="0.25">
      <c r="A30" s="40"/>
    </row>
    <row r="31" spans="1:8" ht="38.25" customHeight="1" x14ac:dyDescent="0.2">
      <c r="A31" s="1363" t="s">
        <v>80</v>
      </c>
      <c r="B31" s="1363"/>
      <c r="C31" s="1363"/>
      <c r="D31" s="1363"/>
      <c r="E31" s="1363"/>
      <c r="F31" s="1363"/>
      <c r="G31" s="1363"/>
      <c r="H31" s="1363"/>
    </row>
    <row r="32" spans="1:8" ht="15.75" x14ac:dyDescent="0.25">
      <c r="A32" s="40"/>
    </row>
    <row r="33" spans="1:1" ht="15.75" x14ac:dyDescent="0.25">
      <c r="A33" s="40"/>
    </row>
    <row r="34" spans="1:1" ht="15.75" x14ac:dyDescent="0.25">
      <c r="A34" s="40"/>
    </row>
    <row r="35" spans="1:1" ht="15.75" x14ac:dyDescent="0.25">
      <c r="A35" s="40"/>
    </row>
    <row r="36" spans="1:1" ht="15.75" x14ac:dyDescent="0.25">
      <c r="A36" s="40"/>
    </row>
    <row r="37" spans="1:1" ht="15.75" x14ac:dyDescent="0.25">
      <c r="A37" s="40"/>
    </row>
    <row r="38" spans="1:1" ht="15.75" x14ac:dyDescent="0.25">
      <c r="A38" s="40"/>
    </row>
    <row r="39" spans="1:1" ht="15.75" x14ac:dyDescent="0.25">
      <c r="A39" s="40"/>
    </row>
    <row r="40" spans="1:1" ht="15.75" x14ac:dyDescent="0.25">
      <c r="A40" s="40"/>
    </row>
    <row r="442" spans="1:9" x14ac:dyDescent="0.2">
      <c r="A442" s="41"/>
      <c r="I442" s="41"/>
    </row>
  </sheetData>
  <mergeCells count="6">
    <mergeCell ref="A31:H31"/>
    <mergeCell ref="B7:C7"/>
    <mergeCell ref="A7:A8"/>
    <mergeCell ref="D7:F7"/>
    <mergeCell ref="G7:G8"/>
    <mergeCell ref="H7:H8"/>
  </mergeCells>
  <phoneticPr fontId="9" type="noConversion"/>
  <printOptions horizontalCentered="1"/>
  <pageMargins left="0.59055118110236227" right="0.59055118110236227" top="0.78740157480314965" bottom="0.78740157480314965" header="0.59055118110236227" footer="0.59055118110236227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workbookViewId="0">
      <selection activeCell="G10" sqref="G10"/>
    </sheetView>
  </sheetViews>
  <sheetFormatPr defaultRowHeight="12.75" x14ac:dyDescent="0.2"/>
  <cols>
    <col min="1" max="1" width="7.7109375" style="1" customWidth="1"/>
    <col min="2" max="2" width="6.7109375" style="1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42578125" style="2" customWidth="1"/>
    <col min="11" max="11" width="14.7109375" style="2" customWidth="1"/>
    <col min="12" max="12" width="14.7109375" style="4" customWidth="1"/>
    <col min="13" max="14" width="9.7109375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70" width="7.4257812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6" width="7.4257812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2" width="7.4257812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8" width="7.4257812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4" width="7.4257812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50" width="7.4257812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6" width="7.4257812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2" width="7.4257812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8" width="7.4257812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4" width="7.4257812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30" width="7.4257812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6" width="7.4257812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2" width="7.4257812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8" width="7.4257812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4" width="7.4257812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10" width="7.4257812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6" width="7.4257812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2" width="7.4257812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8" width="7.4257812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4" width="7.4257812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90" width="7.4257812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6" width="7.4257812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2" width="7.4257812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8" width="7.4257812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4" width="7.4257812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70" width="7.4257812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6" width="7.4257812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2" width="7.4257812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8" width="7.4257812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4" width="7.4257812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50" width="7.4257812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6" width="7.4257812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2" width="7.4257812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8" width="7.4257812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4" width="7.4257812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30" width="7.4257812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6" width="7.4257812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2" width="7.4257812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8" width="7.4257812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4" width="7.4257812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10" width="7.4257812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6" width="7.4257812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2" width="7.4257812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8" width="7.4257812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4" width="7.4257812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90" width="7.4257812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6" width="7.4257812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2" width="7.4257812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8" width="7.4257812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4" width="7.4257812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70" width="7.4257812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6" width="7.4257812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2" width="7.4257812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8" width="7.4257812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4" width="7.4257812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50" width="7.4257812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6" width="7.4257812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2" width="7.4257812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8" width="7.4257812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4" width="7.4257812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30" width="7.4257812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6" width="7.4257812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2" width="7.42578125" style="1" customWidth="1"/>
    <col min="16143" max="16384" width="9.140625" style="1"/>
  </cols>
  <sheetData>
    <row r="1" spans="1:23" ht="15" customHeight="1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/>
    <row r="4" spans="1:23" ht="20.100000000000001" customHeight="1" x14ac:dyDescent="0.3">
      <c r="A4" s="7" t="s">
        <v>279</v>
      </c>
      <c r="M4" s="8"/>
    </row>
    <row r="5" spans="1:23" ht="15" customHeight="1" thickBot="1" x14ac:dyDescent="0.35">
      <c r="A5" s="7"/>
      <c r="N5" s="8" t="s">
        <v>0</v>
      </c>
    </row>
    <row r="6" spans="1:23" s="142" customFormat="1" ht="15.75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3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23" s="18" customFormat="1" ht="20.100000000000001" customHeight="1" thickBot="1" x14ac:dyDescent="0.3">
      <c r="A8" s="9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20" customFormat="1" ht="15" customHeight="1" x14ac:dyDescent="0.2">
      <c r="A9" s="506">
        <v>2143</v>
      </c>
      <c r="B9" s="1580" t="s">
        <v>280</v>
      </c>
      <c r="C9" s="1581"/>
      <c r="D9" s="392">
        <v>0</v>
      </c>
      <c r="E9" s="393">
        <v>985.88</v>
      </c>
      <c r="F9" s="508">
        <v>1000</v>
      </c>
      <c r="G9" s="364">
        <v>1000</v>
      </c>
      <c r="H9" s="509">
        <v>91.85</v>
      </c>
      <c r="I9" s="395">
        <v>0</v>
      </c>
      <c r="J9" s="396">
        <v>1000</v>
      </c>
      <c r="K9" s="510">
        <v>0</v>
      </c>
      <c r="L9" s="366">
        <f>SUM(I9:K9)</f>
        <v>1000</v>
      </c>
      <c r="M9" s="398">
        <f>L9/F9*100</f>
        <v>100</v>
      </c>
      <c r="N9" s="399">
        <f>L9/G9*100</f>
        <v>100</v>
      </c>
      <c r="O9" s="19"/>
    </row>
    <row r="10" spans="1:23" s="20" customFormat="1" ht="15" customHeight="1" x14ac:dyDescent="0.2">
      <c r="A10" s="847">
        <v>2223</v>
      </c>
      <c r="B10" s="1578" t="s">
        <v>300</v>
      </c>
      <c r="C10" s="1579"/>
      <c r="D10" s="464">
        <v>0</v>
      </c>
      <c r="E10" s="465">
        <v>0</v>
      </c>
      <c r="F10" s="514">
        <v>0</v>
      </c>
      <c r="G10" s="891">
        <v>1587.67</v>
      </c>
      <c r="H10" s="892">
        <v>93.12</v>
      </c>
      <c r="I10" s="515">
        <v>0</v>
      </c>
      <c r="J10" s="468">
        <v>0</v>
      </c>
      <c r="K10" s="469">
        <v>0</v>
      </c>
      <c r="L10" s="373">
        <f>SUM(I10:K10)</f>
        <v>0</v>
      </c>
      <c r="M10" s="408" t="s">
        <v>71</v>
      </c>
      <c r="N10" s="385">
        <f>L10/G10*100</f>
        <v>0</v>
      </c>
      <c r="O10" s="19"/>
    </row>
    <row r="11" spans="1:23" s="550" customFormat="1" ht="29.25" customHeight="1" x14ac:dyDescent="0.25">
      <c r="A11" s="1461">
        <v>2510</v>
      </c>
      <c r="B11" s="1503" t="s">
        <v>319</v>
      </c>
      <c r="C11" s="1504"/>
      <c r="D11" s="443">
        <v>19324</v>
      </c>
      <c r="E11" s="485">
        <v>19567</v>
      </c>
      <c r="F11" s="496">
        <f t="shared" ref="F11:G11" si="0">SUM(F12:F14)</f>
        <v>20961</v>
      </c>
      <c r="G11" s="511">
        <f t="shared" si="0"/>
        <v>21843.8</v>
      </c>
      <c r="H11" s="512">
        <v>16603.54</v>
      </c>
      <c r="I11" s="496">
        <f>SUM(I12:I14)</f>
        <v>18765</v>
      </c>
      <c r="J11" s="447">
        <f>SUM(J12:J14)</f>
        <v>1208</v>
      </c>
      <c r="K11" s="513">
        <f>SUM(K12:K14)</f>
        <v>1104</v>
      </c>
      <c r="L11" s="373">
        <f>SUM(I11:K11)</f>
        <v>21077</v>
      </c>
      <c r="M11" s="408">
        <f>L11/F11*100+COUNT(L11/F11*100)</f>
        <v>101.55340871141645</v>
      </c>
      <c r="N11" s="385">
        <f>L11/G11*100</f>
        <v>96.489621769106122</v>
      </c>
      <c r="O11" s="549"/>
      <c r="P11" s="549"/>
      <c r="Q11" s="549"/>
      <c r="R11" s="549"/>
      <c r="S11" s="549"/>
      <c r="T11" s="549"/>
      <c r="U11" s="549"/>
      <c r="V11" s="549"/>
      <c r="W11" s="549"/>
    </row>
    <row r="12" spans="1:23" s="143" customFormat="1" ht="15" customHeight="1" x14ac:dyDescent="0.2">
      <c r="A12" s="1462"/>
      <c r="B12" s="1491" t="s">
        <v>133</v>
      </c>
      <c r="C12" s="180" t="s">
        <v>208</v>
      </c>
      <c r="D12" s="230">
        <v>3800</v>
      </c>
      <c r="E12" s="231">
        <v>2954</v>
      </c>
      <c r="F12" s="232">
        <v>3235</v>
      </c>
      <c r="G12" s="169">
        <v>3235</v>
      </c>
      <c r="H12" s="233">
        <v>2426.25</v>
      </c>
      <c r="I12" s="235">
        <v>2665</v>
      </c>
      <c r="J12" s="220">
        <v>150</v>
      </c>
      <c r="K12" s="234">
        <v>0</v>
      </c>
      <c r="L12" s="164">
        <f>SUM(I12:K12)</f>
        <v>2815</v>
      </c>
      <c r="M12" s="228">
        <f t="shared" ref="M12:M20" si="1">L12/F12*100</f>
        <v>87.017001545595051</v>
      </c>
      <c r="N12" s="167">
        <f t="shared" ref="N12:N20" si="2">L12/G12*100</f>
        <v>87.017001545595051</v>
      </c>
    </row>
    <row r="13" spans="1:23" s="143" customFormat="1" ht="15" customHeight="1" x14ac:dyDescent="0.2">
      <c r="A13" s="1462"/>
      <c r="B13" s="1502"/>
      <c r="C13" s="180" t="s">
        <v>209</v>
      </c>
      <c r="D13" s="230">
        <v>15474</v>
      </c>
      <c r="E13" s="231">
        <v>16563</v>
      </c>
      <c r="F13" s="232">
        <v>17656</v>
      </c>
      <c r="G13" s="169">
        <v>18538.8</v>
      </c>
      <c r="H13" s="233">
        <v>14124.8</v>
      </c>
      <c r="I13" s="171">
        <v>16030</v>
      </c>
      <c r="J13" s="172">
        <v>1058</v>
      </c>
      <c r="K13" s="234">
        <v>1104</v>
      </c>
      <c r="L13" s="164">
        <f t="shared" ref="L13:L19" si="3">SUM(I13:K13)</f>
        <v>18192</v>
      </c>
      <c r="M13" s="228">
        <f t="shared" si="1"/>
        <v>103.03579519710013</v>
      </c>
      <c r="N13" s="167">
        <f t="shared" si="2"/>
        <v>98.129328759142993</v>
      </c>
    </row>
    <row r="14" spans="1:23" s="143" customFormat="1" ht="15" customHeight="1" x14ac:dyDescent="0.2">
      <c r="A14" s="1463"/>
      <c r="B14" s="1492"/>
      <c r="C14" s="180" t="s">
        <v>210</v>
      </c>
      <c r="D14" s="230">
        <v>50</v>
      </c>
      <c r="E14" s="231">
        <v>50</v>
      </c>
      <c r="F14" s="232">
        <v>70</v>
      </c>
      <c r="G14" s="169">
        <v>70</v>
      </c>
      <c r="H14" s="233">
        <v>52.49</v>
      </c>
      <c r="I14" s="171">
        <v>70</v>
      </c>
      <c r="J14" s="172">
        <v>0</v>
      </c>
      <c r="K14" s="234">
        <v>0</v>
      </c>
      <c r="L14" s="164">
        <f t="shared" si="3"/>
        <v>70</v>
      </c>
      <c r="M14" s="228">
        <f t="shared" si="1"/>
        <v>100</v>
      </c>
      <c r="N14" s="167">
        <f t="shared" si="2"/>
        <v>100</v>
      </c>
    </row>
    <row r="15" spans="1:23" s="143" customFormat="1" ht="15" customHeight="1" x14ac:dyDescent="0.2">
      <c r="A15" s="848">
        <v>3299</v>
      </c>
      <c r="B15" s="1578" t="s">
        <v>316</v>
      </c>
      <c r="C15" s="1579"/>
      <c r="D15" s="464">
        <v>0</v>
      </c>
      <c r="E15" s="465">
        <v>240.72</v>
      </c>
      <c r="F15" s="514">
        <v>0</v>
      </c>
      <c r="G15" s="893">
        <v>0</v>
      </c>
      <c r="H15" s="892">
        <v>0</v>
      </c>
      <c r="I15" s="515">
        <v>0</v>
      </c>
      <c r="J15" s="459">
        <v>0</v>
      </c>
      <c r="K15" s="469">
        <v>0</v>
      </c>
      <c r="L15" s="373">
        <f t="shared" si="3"/>
        <v>0</v>
      </c>
      <c r="M15" s="408" t="s">
        <v>71</v>
      </c>
      <c r="N15" s="385" t="s">
        <v>71</v>
      </c>
    </row>
    <row r="16" spans="1:23" s="143" customFormat="1" ht="15" customHeight="1" x14ac:dyDescent="0.2">
      <c r="A16" s="848">
        <v>3619</v>
      </c>
      <c r="B16" s="1578" t="s">
        <v>406</v>
      </c>
      <c r="C16" s="1579"/>
      <c r="D16" s="464">
        <v>0</v>
      </c>
      <c r="E16" s="465">
        <v>0</v>
      </c>
      <c r="F16" s="514">
        <v>0</v>
      </c>
      <c r="G16" s="893">
        <v>750</v>
      </c>
      <c r="H16" s="892">
        <v>232.59</v>
      </c>
      <c r="I16" s="515">
        <v>0</v>
      </c>
      <c r="J16" s="459">
        <v>0</v>
      </c>
      <c r="K16" s="469">
        <v>0</v>
      </c>
      <c r="L16" s="373">
        <f>SUM(I16:K16)</f>
        <v>0</v>
      </c>
      <c r="M16" s="408" t="s">
        <v>71</v>
      </c>
      <c r="N16" s="385">
        <f>L16/G16*100</f>
        <v>0</v>
      </c>
    </row>
    <row r="17" spans="1:15" s="143" customFormat="1" ht="15" customHeight="1" x14ac:dyDescent="0.2">
      <c r="A17" s="848">
        <v>3713</v>
      </c>
      <c r="B17" s="1578" t="s">
        <v>317</v>
      </c>
      <c r="C17" s="1579"/>
      <c r="D17" s="464">
        <v>1000</v>
      </c>
      <c r="E17" s="465">
        <v>884.21</v>
      </c>
      <c r="F17" s="514">
        <v>0</v>
      </c>
      <c r="G17" s="893">
        <f>699.58+223.93</f>
        <v>923.51</v>
      </c>
      <c r="H17" s="892">
        <v>14.27</v>
      </c>
      <c r="I17" s="515">
        <v>0</v>
      </c>
      <c r="J17" s="459">
        <v>0</v>
      </c>
      <c r="K17" s="469">
        <v>0</v>
      </c>
      <c r="L17" s="373">
        <f t="shared" si="3"/>
        <v>0</v>
      </c>
      <c r="M17" s="408" t="s">
        <v>71</v>
      </c>
      <c r="N17" s="385">
        <f t="shared" si="2"/>
        <v>0</v>
      </c>
    </row>
    <row r="18" spans="1:15" s="143" customFormat="1" ht="30" customHeight="1" x14ac:dyDescent="0.2">
      <c r="A18" s="1198">
        <v>3714</v>
      </c>
      <c r="B18" s="1483" t="s">
        <v>473</v>
      </c>
      <c r="C18" s="1484"/>
      <c r="D18" s="464">
        <v>0</v>
      </c>
      <c r="E18" s="465">
        <v>0</v>
      </c>
      <c r="F18" s="514">
        <v>0</v>
      </c>
      <c r="G18" s="893">
        <v>1000</v>
      </c>
      <c r="H18" s="892">
        <v>0</v>
      </c>
      <c r="I18" s="515">
        <v>0</v>
      </c>
      <c r="J18" s="459">
        <v>0</v>
      </c>
      <c r="K18" s="469">
        <v>0</v>
      </c>
      <c r="L18" s="373">
        <f t="shared" si="3"/>
        <v>0</v>
      </c>
      <c r="M18" s="408" t="s">
        <v>71</v>
      </c>
      <c r="N18" s="385">
        <f>L18/G18*100</f>
        <v>0</v>
      </c>
    </row>
    <row r="19" spans="1:15" s="143" customFormat="1" ht="15" customHeight="1" thickBot="1" x14ac:dyDescent="0.25">
      <c r="A19" s="848">
        <v>6172</v>
      </c>
      <c r="B19" s="1578" t="s">
        <v>160</v>
      </c>
      <c r="C19" s="1579"/>
      <c r="D19" s="464">
        <v>0</v>
      </c>
      <c r="E19" s="465">
        <v>0</v>
      </c>
      <c r="F19" s="514">
        <v>0</v>
      </c>
      <c r="G19" s="893">
        <v>65</v>
      </c>
      <c r="H19" s="892">
        <v>61.26</v>
      </c>
      <c r="I19" s="515">
        <v>908</v>
      </c>
      <c r="J19" s="459">
        <v>109</v>
      </c>
      <c r="K19" s="469">
        <v>0</v>
      </c>
      <c r="L19" s="373">
        <f t="shared" si="3"/>
        <v>1017</v>
      </c>
      <c r="M19" s="408" t="s">
        <v>71</v>
      </c>
      <c r="N19" s="1190">
        <f t="shared" si="2"/>
        <v>1564.6153846153845</v>
      </c>
    </row>
    <row r="20" spans="1:15" s="22" customFormat="1" ht="16.5" thickBot="1" x14ac:dyDescent="0.3">
      <c r="A20" s="963"/>
      <c r="B20" s="1189" t="s">
        <v>99</v>
      </c>
      <c r="C20" s="975"/>
      <c r="D20" s="1017">
        <f>+D11+D9+D15+D17</f>
        <v>20324</v>
      </c>
      <c r="E20" s="979">
        <f>+E11+E9+E15+E17</f>
        <v>21677.81</v>
      </c>
      <c r="F20" s="956">
        <f t="shared" ref="F20:K20" si="4">+F9+F10+F11+F16+F15+F17+F19+F18</f>
        <v>21961</v>
      </c>
      <c r="G20" s="958">
        <f t="shared" si="4"/>
        <v>27169.98</v>
      </c>
      <c r="H20" s="958">
        <f t="shared" si="4"/>
        <v>17096.63</v>
      </c>
      <c r="I20" s="956">
        <f t="shared" si="4"/>
        <v>19673</v>
      </c>
      <c r="J20" s="1009">
        <f t="shared" si="4"/>
        <v>2317</v>
      </c>
      <c r="K20" s="1010">
        <f t="shared" si="4"/>
        <v>1104</v>
      </c>
      <c r="L20" s="832">
        <f>+L9+L10+L11+L16+L15+L17+L19</f>
        <v>23094</v>
      </c>
      <c r="M20" s="977">
        <f t="shared" si="1"/>
        <v>105.15914575838987</v>
      </c>
      <c r="N20" s="962">
        <f t="shared" si="2"/>
        <v>84.998222302703212</v>
      </c>
      <c r="O20" s="21"/>
    </row>
    <row r="21" spans="1:15" x14ac:dyDescent="0.2">
      <c r="A21" s="47"/>
    </row>
    <row r="23" spans="1:15" x14ac:dyDescent="0.2">
      <c r="A23" s="47"/>
    </row>
    <row r="24" spans="1:15" x14ac:dyDescent="0.2">
      <c r="A24" s="47"/>
    </row>
  </sheetData>
  <mergeCells count="18">
    <mergeCell ref="B17:C17"/>
    <mergeCell ref="B18:C18"/>
    <mergeCell ref="B19:C19"/>
    <mergeCell ref="B9:C9"/>
    <mergeCell ref="A11:A14"/>
    <mergeCell ref="B11:C11"/>
    <mergeCell ref="B10:C10"/>
    <mergeCell ref="B16:C16"/>
    <mergeCell ref="B12:B14"/>
    <mergeCell ref="B15:C15"/>
    <mergeCell ref="A2:N2"/>
    <mergeCell ref="A6:A7"/>
    <mergeCell ref="D6:E6"/>
    <mergeCell ref="F6:H6"/>
    <mergeCell ref="I6:L6"/>
    <mergeCell ref="M6:M7"/>
    <mergeCell ref="N6:N7"/>
    <mergeCell ref="B6:C7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workbookViewId="0"/>
  </sheetViews>
  <sheetFormatPr defaultRowHeight="12.75" x14ac:dyDescent="0.2"/>
  <cols>
    <col min="1" max="1" width="7.7109375" style="148" customWidth="1"/>
    <col min="2" max="2" width="6.7109375" style="1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5703125" style="2" customWidth="1"/>
    <col min="11" max="11" width="14.7109375" style="2" customWidth="1"/>
    <col min="12" max="12" width="14.7109375" style="4" customWidth="1"/>
    <col min="13" max="14" width="9.7109375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70" width="7.4257812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6" width="7.4257812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2" width="7.4257812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8" width="7.4257812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4" width="7.4257812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50" width="7.4257812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6" width="7.4257812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2" width="7.4257812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8" width="7.4257812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4" width="7.4257812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30" width="7.4257812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6" width="7.4257812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2" width="7.4257812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8" width="7.4257812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4" width="7.4257812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10" width="7.4257812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6" width="7.4257812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2" width="7.4257812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8" width="7.4257812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4" width="7.4257812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90" width="7.4257812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6" width="7.4257812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2" width="7.4257812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8" width="7.4257812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4" width="7.4257812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70" width="7.4257812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6" width="7.4257812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2" width="7.4257812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8" width="7.4257812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4" width="7.4257812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50" width="7.4257812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6" width="7.4257812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2" width="7.4257812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8" width="7.4257812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4" width="7.4257812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30" width="7.4257812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6" width="7.4257812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2" width="7.4257812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8" width="7.4257812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4" width="7.4257812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10" width="7.4257812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6" width="7.4257812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2" width="7.4257812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8" width="7.4257812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4" width="7.4257812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90" width="7.4257812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6" width="7.4257812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2" width="7.4257812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8" width="7.4257812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4" width="7.4257812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70" width="7.4257812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6" width="7.4257812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2" width="7.4257812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8" width="7.4257812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4" width="7.4257812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50" width="7.4257812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6" width="7.4257812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2" width="7.4257812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8" width="7.4257812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4" width="7.4257812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30" width="7.4257812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6" width="7.4257812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2" width="7.42578125" style="1" customWidth="1"/>
    <col min="16143" max="16384" width="9.140625" style="1"/>
  </cols>
  <sheetData>
    <row r="1" spans="1:23" ht="15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>
      <c r="D3" s="2" t="s">
        <v>277</v>
      </c>
    </row>
    <row r="4" spans="1:23" ht="20.100000000000001" customHeight="1" x14ac:dyDescent="0.25">
      <c r="A4" s="149" t="s">
        <v>240</v>
      </c>
      <c r="M4" s="8"/>
    </row>
    <row r="5" spans="1:23" ht="15" customHeight="1" thickBot="1" x14ac:dyDescent="0.3">
      <c r="A5" s="149"/>
      <c r="N5" s="8" t="s">
        <v>0</v>
      </c>
    </row>
    <row r="6" spans="1:23" s="142" customFormat="1" ht="15.75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3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23" s="18" customFormat="1" ht="20.100000000000001" customHeight="1" thickBot="1" x14ac:dyDescent="0.3">
      <c r="A8" s="150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20" customFormat="1" ht="15" customHeight="1" x14ac:dyDescent="0.2">
      <c r="A9" s="517">
        <v>1019</v>
      </c>
      <c r="B9" s="1586" t="s">
        <v>241</v>
      </c>
      <c r="C9" s="1587"/>
      <c r="D9" s="392">
        <v>1700</v>
      </c>
      <c r="E9" s="365">
        <v>1282.3499999999999</v>
      </c>
      <c r="F9" s="508">
        <v>1700</v>
      </c>
      <c r="G9" s="518">
        <v>1700</v>
      </c>
      <c r="H9" s="519">
        <v>530.19000000000005</v>
      </c>
      <c r="I9" s="395">
        <v>0</v>
      </c>
      <c r="J9" s="396">
        <v>1100</v>
      </c>
      <c r="K9" s="510">
        <v>600</v>
      </c>
      <c r="L9" s="366">
        <f>SUM(I9:K9)</f>
        <v>1700</v>
      </c>
      <c r="M9" s="398">
        <f t="shared" ref="M9:M25" si="0">L9/F9*100</f>
        <v>100</v>
      </c>
      <c r="N9" s="520">
        <f t="shared" ref="N9:N25" si="1">L9/G9*100</f>
        <v>100</v>
      </c>
      <c r="O9" s="147"/>
      <c r="P9" s="147"/>
      <c r="Q9" s="147"/>
      <c r="R9" s="147"/>
      <c r="S9" s="147"/>
      <c r="T9" s="147"/>
      <c r="U9" s="147"/>
      <c r="V9" s="147"/>
      <c r="W9" s="147"/>
    </row>
    <row r="10" spans="1:23" s="143" customFormat="1" ht="15" customHeight="1" x14ac:dyDescent="0.2">
      <c r="A10" s="507">
        <v>1031</v>
      </c>
      <c r="B10" s="1588" t="s">
        <v>242</v>
      </c>
      <c r="C10" s="1589"/>
      <c r="D10" s="443">
        <v>5000</v>
      </c>
      <c r="E10" s="371">
        <v>4772.57</v>
      </c>
      <c r="F10" s="494">
        <v>5000</v>
      </c>
      <c r="G10" s="498">
        <v>11290.82</v>
      </c>
      <c r="H10" s="516">
        <v>1215.78</v>
      </c>
      <c r="I10" s="496">
        <v>0</v>
      </c>
      <c r="J10" s="484">
        <v>5000</v>
      </c>
      <c r="K10" s="513">
        <v>0</v>
      </c>
      <c r="L10" s="373">
        <f t="shared" ref="L10:L24" si="2">SUM(I10:K10)</f>
        <v>5000</v>
      </c>
      <c r="M10" s="408">
        <f t="shared" si="0"/>
        <v>100</v>
      </c>
      <c r="N10" s="385">
        <f t="shared" si="1"/>
        <v>44.283763269629667</v>
      </c>
    </row>
    <row r="11" spans="1:23" s="143" customFormat="1" ht="15" customHeight="1" x14ac:dyDescent="0.2">
      <c r="A11" s="507">
        <v>1070</v>
      </c>
      <c r="B11" s="1588" t="s">
        <v>243</v>
      </c>
      <c r="C11" s="1589"/>
      <c r="D11" s="443">
        <v>230</v>
      </c>
      <c r="E11" s="371">
        <v>180</v>
      </c>
      <c r="F11" s="494">
        <v>230</v>
      </c>
      <c r="G11" s="498">
        <v>230</v>
      </c>
      <c r="H11" s="516">
        <v>150</v>
      </c>
      <c r="I11" s="496">
        <v>0</v>
      </c>
      <c r="J11" s="484">
        <v>0</v>
      </c>
      <c r="K11" s="513">
        <v>230</v>
      </c>
      <c r="L11" s="373">
        <f t="shared" si="2"/>
        <v>230</v>
      </c>
      <c r="M11" s="408">
        <f t="shared" si="0"/>
        <v>100</v>
      </c>
      <c r="N11" s="385">
        <f t="shared" si="1"/>
        <v>100</v>
      </c>
    </row>
    <row r="12" spans="1:23" s="143" customFormat="1" ht="15" customHeight="1" x14ac:dyDescent="0.2">
      <c r="A12" s="507">
        <v>2310</v>
      </c>
      <c r="B12" s="1588" t="s">
        <v>179</v>
      </c>
      <c r="C12" s="1589"/>
      <c r="D12" s="443">
        <v>1500</v>
      </c>
      <c r="E12" s="371">
        <v>1426.59</v>
      </c>
      <c r="F12" s="494">
        <v>1500</v>
      </c>
      <c r="G12" s="498">
        <v>3381.55</v>
      </c>
      <c r="H12" s="516">
        <v>0</v>
      </c>
      <c r="I12" s="496">
        <v>1500</v>
      </c>
      <c r="J12" s="484">
        <v>700</v>
      </c>
      <c r="K12" s="513">
        <v>0</v>
      </c>
      <c r="L12" s="373">
        <f t="shared" si="2"/>
        <v>2200</v>
      </c>
      <c r="M12" s="408">
        <f t="shared" si="0"/>
        <v>146.66666666666666</v>
      </c>
      <c r="N12" s="385">
        <f t="shared" si="1"/>
        <v>65.058922683384836</v>
      </c>
    </row>
    <row r="13" spans="1:23" s="143" customFormat="1" ht="29.25" customHeight="1" x14ac:dyDescent="0.2">
      <c r="A13" s="507">
        <v>2310</v>
      </c>
      <c r="B13" s="1582" t="s">
        <v>407</v>
      </c>
      <c r="C13" s="1583"/>
      <c r="D13" s="443">
        <v>0</v>
      </c>
      <c r="E13" s="371">
        <v>0</v>
      </c>
      <c r="F13" s="494">
        <v>0</v>
      </c>
      <c r="G13" s="498">
        <v>25535.38</v>
      </c>
      <c r="H13" s="516">
        <v>21423.64</v>
      </c>
      <c r="I13" s="496">
        <v>0</v>
      </c>
      <c r="J13" s="484">
        <v>0</v>
      </c>
      <c r="K13" s="513">
        <v>0</v>
      </c>
      <c r="L13" s="373">
        <f t="shared" si="2"/>
        <v>0</v>
      </c>
      <c r="M13" s="408" t="s">
        <v>71</v>
      </c>
      <c r="N13" s="385">
        <f t="shared" si="1"/>
        <v>0</v>
      </c>
    </row>
    <row r="14" spans="1:23" s="143" customFormat="1" ht="29.25" customHeight="1" x14ac:dyDescent="0.2">
      <c r="A14" s="507">
        <v>2339</v>
      </c>
      <c r="B14" s="1582" t="s">
        <v>302</v>
      </c>
      <c r="C14" s="1583"/>
      <c r="D14" s="443">
        <v>2200</v>
      </c>
      <c r="E14" s="371">
        <v>176.35</v>
      </c>
      <c r="F14" s="494">
        <v>1300</v>
      </c>
      <c r="G14" s="498">
        <v>1300</v>
      </c>
      <c r="H14" s="516">
        <v>0</v>
      </c>
      <c r="I14" s="496">
        <v>300</v>
      </c>
      <c r="J14" s="484">
        <v>0</v>
      </c>
      <c r="K14" s="513">
        <v>0</v>
      </c>
      <c r="L14" s="373">
        <f t="shared" si="2"/>
        <v>300</v>
      </c>
      <c r="M14" s="408">
        <f t="shared" si="0"/>
        <v>23.076923076923077</v>
      </c>
      <c r="N14" s="385">
        <f t="shared" si="1"/>
        <v>23.076923076923077</v>
      </c>
    </row>
    <row r="15" spans="1:23" s="20" customFormat="1" ht="15" customHeight="1" x14ac:dyDescent="0.2">
      <c r="A15" s="507">
        <v>2341</v>
      </c>
      <c r="B15" s="1588" t="s">
        <v>244</v>
      </c>
      <c r="C15" s="1589"/>
      <c r="D15" s="443">
        <v>0</v>
      </c>
      <c r="E15" s="371">
        <v>0</v>
      </c>
      <c r="F15" s="494">
        <v>0</v>
      </c>
      <c r="G15" s="498">
        <v>1000</v>
      </c>
      <c r="H15" s="516">
        <v>1000</v>
      </c>
      <c r="I15" s="496">
        <v>0</v>
      </c>
      <c r="J15" s="484">
        <v>0</v>
      </c>
      <c r="K15" s="513">
        <v>0</v>
      </c>
      <c r="L15" s="373">
        <f t="shared" si="2"/>
        <v>0</v>
      </c>
      <c r="M15" s="408" t="s">
        <v>71</v>
      </c>
      <c r="N15" s="385">
        <f t="shared" ref="N15:N16" si="3">L15/G15*100</f>
        <v>0</v>
      </c>
    </row>
    <row r="16" spans="1:23" s="20" customFormat="1" ht="15" customHeight="1" x14ac:dyDescent="0.2">
      <c r="A16" s="507">
        <v>3716</v>
      </c>
      <c r="B16" s="1588" t="s">
        <v>245</v>
      </c>
      <c r="C16" s="1589"/>
      <c r="D16" s="443">
        <v>1000</v>
      </c>
      <c r="E16" s="371">
        <v>845.5</v>
      </c>
      <c r="F16" s="494">
        <v>1000</v>
      </c>
      <c r="G16" s="498">
        <v>1268.99</v>
      </c>
      <c r="H16" s="516">
        <v>65</v>
      </c>
      <c r="I16" s="496">
        <v>0</v>
      </c>
      <c r="J16" s="484">
        <v>1000</v>
      </c>
      <c r="K16" s="513">
        <v>0</v>
      </c>
      <c r="L16" s="373">
        <f t="shared" si="2"/>
        <v>1000</v>
      </c>
      <c r="M16" s="408">
        <f t="shared" ref="M16" si="4">L16/F16*100</f>
        <v>100</v>
      </c>
      <c r="N16" s="385">
        <f t="shared" si="3"/>
        <v>78.802827445448742</v>
      </c>
      <c r="O16" s="19"/>
    </row>
    <row r="17" spans="1:15" s="20" customFormat="1" ht="15" customHeight="1" x14ac:dyDescent="0.2">
      <c r="A17" s="507">
        <v>3727</v>
      </c>
      <c r="B17" s="1588" t="s">
        <v>246</v>
      </c>
      <c r="C17" s="1589"/>
      <c r="D17" s="443">
        <v>1000</v>
      </c>
      <c r="E17" s="371">
        <v>971.8</v>
      </c>
      <c r="F17" s="494">
        <v>1000</v>
      </c>
      <c r="G17" s="498">
        <v>1953</v>
      </c>
      <c r="H17" s="516">
        <v>953</v>
      </c>
      <c r="I17" s="496">
        <v>0</v>
      </c>
      <c r="J17" s="484">
        <v>1000</v>
      </c>
      <c r="K17" s="513">
        <v>0</v>
      </c>
      <c r="L17" s="373">
        <f t="shared" si="2"/>
        <v>1000</v>
      </c>
      <c r="M17" s="408">
        <f t="shared" si="0"/>
        <v>100</v>
      </c>
      <c r="N17" s="385">
        <f t="shared" si="1"/>
        <v>51.203277009728623</v>
      </c>
      <c r="O17" s="19"/>
    </row>
    <row r="18" spans="1:15" s="20" customFormat="1" ht="15" customHeight="1" x14ac:dyDescent="0.2">
      <c r="A18" s="507">
        <v>3729</v>
      </c>
      <c r="B18" s="1588" t="s">
        <v>247</v>
      </c>
      <c r="C18" s="1589"/>
      <c r="D18" s="443">
        <v>1100</v>
      </c>
      <c r="E18" s="371">
        <v>1110.1500000000001</v>
      </c>
      <c r="F18" s="522">
        <v>1100</v>
      </c>
      <c r="G18" s="523">
        <v>1555.45</v>
      </c>
      <c r="H18" s="524">
        <v>0</v>
      </c>
      <c r="I18" s="405">
        <v>150</v>
      </c>
      <c r="J18" s="406">
        <v>0</v>
      </c>
      <c r="K18" s="525">
        <v>950</v>
      </c>
      <c r="L18" s="373">
        <f t="shared" si="2"/>
        <v>1100</v>
      </c>
      <c r="M18" s="408">
        <f t="shared" si="0"/>
        <v>100</v>
      </c>
      <c r="N18" s="385">
        <f t="shared" si="1"/>
        <v>70.719084509305986</v>
      </c>
      <c r="O18" s="19"/>
    </row>
    <row r="19" spans="1:15" s="20" customFormat="1" ht="15" customHeight="1" x14ac:dyDescent="0.2">
      <c r="A19" s="507">
        <v>3741</v>
      </c>
      <c r="B19" s="1588" t="s">
        <v>248</v>
      </c>
      <c r="C19" s="1589"/>
      <c r="D19" s="443">
        <v>2080</v>
      </c>
      <c r="E19" s="371">
        <v>2004</v>
      </c>
      <c r="F19" s="522">
        <v>2080</v>
      </c>
      <c r="G19" s="523">
        <v>2080</v>
      </c>
      <c r="H19" s="524">
        <v>1112</v>
      </c>
      <c r="I19" s="405">
        <v>2004</v>
      </c>
      <c r="J19" s="406">
        <v>0</v>
      </c>
      <c r="K19" s="525">
        <v>0</v>
      </c>
      <c r="L19" s="373">
        <f t="shared" si="2"/>
        <v>2004</v>
      </c>
      <c r="M19" s="408">
        <f t="shared" si="0"/>
        <v>96.346153846153854</v>
      </c>
      <c r="N19" s="385">
        <f t="shared" si="1"/>
        <v>96.346153846153854</v>
      </c>
      <c r="O19" s="19"/>
    </row>
    <row r="20" spans="1:15" s="20" customFormat="1" ht="15" customHeight="1" x14ac:dyDescent="0.2">
      <c r="A20" s="1584">
        <v>3742</v>
      </c>
      <c r="B20" s="1588" t="s">
        <v>190</v>
      </c>
      <c r="C20" s="1589"/>
      <c r="D20" s="443">
        <v>12000</v>
      </c>
      <c r="E20" s="371">
        <v>10584.3</v>
      </c>
      <c r="F20" s="522">
        <v>15200</v>
      </c>
      <c r="G20" s="523">
        <v>15515.78</v>
      </c>
      <c r="H20" s="524">
        <v>1810.55</v>
      </c>
      <c r="I20" s="405">
        <v>16000</v>
      </c>
      <c r="J20" s="406">
        <v>0</v>
      </c>
      <c r="K20" s="525">
        <v>1000</v>
      </c>
      <c r="L20" s="373">
        <f t="shared" si="2"/>
        <v>17000</v>
      </c>
      <c r="M20" s="408">
        <f t="shared" si="0"/>
        <v>111.8421052631579</v>
      </c>
      <c r="N20" s="385">
        <f t="shared" si="1"/>
        <v>109.56587422611044</v>
      </c>
      <c r="O20" s="19"/>
    </row>
    <row r="21" spans="1:15" s="20" customFormat="1" ht="15" customHeight="1" x14ac:dyDescent="0.2">
      <c r="A21" s="1585"/>
      <c r="B21" s="1019" t="s">
        <v>133</v>
      </c>
      <c r="C21" s="842" t="s">
        <v>234</v>
      </c>
      <c r="D21" s="159">
        <v>100</v>
      </c>
      <c r="E21" s="174">
        <v>93.41</v>
      </c>
      <c r="F21" s="224">
        <v>200</v>
      </c>
      <c r="G21" s="225">
        <v>227.03</v>
      </c>
      <c r="H21" s="226">
        <v>0</v>
      </c>
      <c r="I21" s="163">
        <v>200</v>
      </c>
      <c r="J21" s="175">
        <v>0</v>
      </c>
      <c r="K21" s="227">
        <v>0</v>
      </c>
      <c r="L21" s="156">
        <f t="shared" si="2"/>
        <v>200</v>
      </c>
      <c r="M21" s="228">
        <f t="shared" si="0"/>
        <v>100</v>
      </c>
      <c r="N21" s="167">
        <f t="shared" si="1"/>
        <v>88.094084482227018</v>
      </c>
      <c r="O21" s="19"/>
    </row>
    <row r="22" spans="1:15" s="20" customFormat="1" ht="15" customHeight="1" x14ac:dyDescent="0.2">
      <c r="A22" s="507">
        <v>3769</v>
      </c>
      <c r="B22" s="1588" t="s">
        <v>249</v>
      </c>
      <c r="C22" s="1589"/>
      <c r="D22" s="402">
        <v>300</v>
      </c>
      <c r="E22" s="383">
        <v>11</v>
      </c>
      <c r="F22" s="522">
        <v>300</v>
      </c>
      <c r="G22" s="523">
        <v>300</v>
      </c>
      <c r="H22" s="524">
        <v>30.85</v>
      </c>
      <c r="I22" s="405">
        <v>300</v>
      </c>
      <c r="J22" s="406">
        <v>0</v>
      </c>
      <c r="K22" s="525">
        <v>0</v>
      </c>
      <c r="L22" s="373">
        <f t="shared" si="2"/>
        <v>300</v>
      </c>
      <c r="M22" s="408">
        <f t="shared" si="0"/>
        <v>100</v>
      </c>
      <c r="N22" s="385">
        <f t="shared" si="1"/>
        <v>100</v>
      </c>
      <c r="O22" s="19"/>
    </row>
    <row r="23" spans="1:15" s="20" customFormat="1" ht="15" customHeight="1" x14ac:dyDescent="0.2">
      <c r="A23" s="507">
        <v>3792</v>
      </c>
      <c r="B23" s="1588" t="s">
        <v>250</v>
      </c>
      <c r="C23" s="1589"/>
      <c r="D23" s="402">
        <v>16200</v>
      </c>
      <c r="E23" s="383">
        <v>22617.06</v>
      </c>
      <c r="F23" s="522">
        <v>16200</v>
      </c>
      <c r="G23" s="523">
        <v>17721.560000000001</v>
      </c>
      <c r="H23" s="524">
        <v>12944.04</v>
      </c>
      <c r="I23" s="405">
        <v>0</v>
      </c>
      <c r="J23" s="406">
        <v>17166</v>
      </c>
      <c r="K23" s="525">
        <v>334</v>
      </c>
      <c r="L23" s="373">
        <f t="shared" si="2"/>
        <v>17500</v>
      </c>
      <c r="M23" s="408">
        <f t="shared" si="0"/>
        <v>108.02469135802468</v>
      </c>
      <c r="N23" s="385">
        <f t="shared" si="1"/>
        <v>98.7497714648146</v>
      </c>
      <c r="O23" s="19"/>
    </row>
    <row r="24" spans="1:15" s="20" customFormat="1" ht="15" customHeight="1" thickBot="1" x14ac:dyDescent="0.25">
      <c r="A24" s="507">
        <v>3799</v>
      </c>
      <c r="B24" s="1590" t="s">
        <v>251</v>
      </c>
      <c r="C24" s="1591"/>
      <c r="D24" s="402">
        <v>7765</v>
      </c>
      <c r="E24" s="383">
        <v>1778.79</v>
      </c>
      <c r="F24" s="522">
        <v>5465</v>
      </c>
      <c r="G24" s="523">
        <v>8109.04</v>
      </c>
      <c r="H24" s="524">
        <v>1626.86</v>
      </c>
      <c r="I24" s="405">
        <v>1141</v>
      </c>
      <c r="J24" s="406">
        <v>0</v>
      </c>
      <c r="K24" s="525">
        <v>1600</v>
      </c>
      <c r="L24" s="373">
        <f t="shared" si="2"/>
        <v>2741</v>
      </c>
      <c r="M24" s="526">
        <f t="shared" si="0"/>
        <v>50.155535224153702</v>
      </c>
      <c r="N24" s="388">
        <f t="shared" si="1"/>
        <v>33.80178171522153</v>
      </c>
      <c r="O24" s="19"/>
    </row>
    <row r="25" spans="1:15" s="22" customFormat="1" ht="16.5" thickBot="1" x14ac:dyDescent="0.3">
      <c r="A25" s="963"/>
      <c r="B25" s="974" t="s">
        <v>99</v>
      </c>
      <c r="C25" s="975"/>
      <c r="D25" s="1017">
        <f>D9+D10+D11+D12+D14+D15+D16+D17+D18+D19+D20+D22+D23+D24</f>
        <v>52075</v>
      </c>
      <c r="E25" s="979">
        <f>E9+E10+E11+E12+E14+E15+E16+E17+E18+E19+E20+E22+E23+E24</f>
        <v>47760.46</v>
      </c>
      <c r="F25" s="956">
        <f>F9+F10+F11+F12+F14+F15+F16+F17+F18+F19+F20+F22+F23+F24</f>
        <v>52075</v>
      </c>
      <c r="G25" s="958">
        <f>G9+G10+G11+G12+G14+G15+G16+G17+G18+G19+G20+G22+G23+G24+G13</f>
        <v>92941.57</v>
      </c>
      <c r="H25" s="958">
        <f>H9+H10+H11+H12+H14+H15+H16+H17+H18+H19+H20+H22+H23+H24+H13</f>
        <v>42861.91</v>
      </c>
      <c r="I25" s="956">
        <f>I9+I10+I11+I12+I14+I15+I16+I17+I18+I19+I20+I22+I23+I24</f>
        <v>21395</v>
      </c>
      <c r="J25" s="1009">
        <f>SUM(J9:J24)</f>
        <v>25966</v>
      </c>
      <c r="K25" s="1010">
        <f>SUM(K9:K24)</f>
        <v>4714</v>
      </c>
      <c r="L25" s="221">
        <f>L9+L10+L11+L12+L14+L15+L16+L17+L18+L19+L20+L22+L23+L24</f>
        <v>52075</v>
      </c>
      <c r="M25" s="977">
        <f t="shared" si="0"/>
        <v>100</v>
      </c>
      <c r="N25" s="962">
        <f t="shared" si="1"/>
        <v>56.029826050926403</v>
      </c>
      <c r="O25" s="21"/>
    </row>
  </sheetData>
  <mergeCells count="24">
    <mergeCell ref="B16:C16"/>
    <mergeCell ref="B22:C22"/>
    <mergeCell ref="B23:C23"/>
    <mergeCell ref="B24:C24"/>
    <mergeCell ref="B17:C17"/>
    <mergeCell ref="B18:C18"/>
    <mergeCell ref="B19:C19"/>
    <mergeCell ref="B20:C20"/>
    <mergeCell ref="B13:C13"/>
    <mergeCell ref="A20:A21"/>
    <mergeCell ref="B14:C14"/>
    <mergeCell ref="A2:N2"/>
    <mergeCell ref="A6:A7"/>
    <mergeCell ref="D6:E6"/>
    <mergeCell ref="F6:H6"/>
    <mergeCell ref="I6:L6"/>
    <mergeCell ref="M6:M7"/>
    <mergeCell ref="N6:N7"/>
    <mergeCell ref="B6:C7"/>
    <mergeCell ref="B9:C9"/>
    <mergeCell ref="B10:C10"/>
    <mergeCell ref="B11:C11"/>
    <mergeCell ref="B12:C12"/>
    <mergeCell ref="B15:C15"/>
  </mergeCells>
  <printOptions horizontalCentered="1"/>
  <pageMargins left="0.59055118110236227" right="0.59055118110236227" top="0.78740157480314965" bottom="0.78740157480314965" header="0.55118110236220474" footer="0.59055118110236227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workbookViewId="0"/>
  </sheetViews>
  <sheetFormatPr defaultRowHeight="12.75" x14ac:dyDescent="0.2"/>
  <cols>
    <col min="1" max="1" width="7.7109375" style="1" customWidth="1"/>
    <col min="2" max="2" width="6.7109375" style="1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42578125" style="2" customWidth="1"/>
    <col min="11" max="11" width="14.7109375" style="2" customWidth="1"/>
    <col min="12" max="12" width="14.7109375" style="4" customWidth="1"/>
    <col min="13" max="14" width="9.7109375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70" width="7.4257812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6" width="7.4257812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2" width="7.4257812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8" width="7.4257812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4" width="7.4257812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50" width="7.4257812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6" width="7.4257812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2" width="7.4257812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8" width="7.4257812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4" width="7.4257812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30" width="7.4257812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6" width="7.4257812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2" width="7.4257812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8" width="7.4257812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4" width="7.4257812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10" width="7.4257812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6" width="7.4257812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2" width="7.4257812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8" width="7.4257812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4" width="7.4257812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90" width="7.4257812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6" width="7.4257812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2" width="7.4257812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8" width="7.4257812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4" width="7.4257812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70" width="7.4257812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6" width="7.4257812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2" width="7.4257812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8" width="7.4257812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4" width="7.4257812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50" width="7.4257812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6" width="7.4257812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2" width="7.4257812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8" width="7.4257812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4" width="7.4257812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30" width="7.4257812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6" width="7.4257812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2" width="7.4257812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8" width="7.4257812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4" width="7.4257812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10" width="7.4257812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6" width="7.4257812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2" width="7.4257812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8" width="7.4257812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4" width="7.4257812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90" width="7.4257812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6" width="7.4257812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2" width="7.4257812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8" width="7.4257812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4" width="7.4257812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70" width="7.4257812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6" width="7.4257812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2" width="7.4257812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8" width="7.4257812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4" width="7.4257812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50" width="7.4257812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6" width="7.4257812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2" width="7.4257812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8" width="7.4257812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4" width="7.4257812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30" width="7.4257812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6" width="7.4257812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2" width="7.42578125" style="1" customWidth="1"/>
    <col min="16143" max="16384" width="9.140625" style="1"/>
  </cols>
  <sheetData>
    <row r="1" spans="1:23" ht="15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/>
    <row r="4" spans="1:23" ht="20.100000000000001" customHeight="1" x14ac:dyDescent="0.3">
      <c r="A4" s="7" t="s">
        <v>236</v>
      </c>
      <c r="M4" s="8"/>
    </row>
    <row r="5" spans="1:23" ht="15" customHeight="1" thickBot="1" x14ac:dyDescent="0.35">
      <c r="A5" s="7"/>
      <c r="N5" s="8" t="s">
        <v>0</v>
      </c>
    </row>
    <row r="6" spans="1:23" s="142" customFormat="1" ht="15.75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3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23" s="18" customFormat="1" ht="20.100000000000001" customHeight="1" thickBot="1" x14ac:dyDescent="0.3">
      <c r="A8" s="9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20" customFormat="1" ht="15" customHeight="1" x14ac:dyDescent="0.2">
      <c r="A9" s="1495">
        <v>3612</v>
      </c>
      <c r="B9" s="1594" t="s">
        <v>237</v>
      </c>
      <c r="C9" s="1595"/>
      <c r="D9" s="392">
        <v>2390</v>
      </c>
      <c r="E9" s="393">
        <v>783.4</v>
      </c>
      <c r="F9" s="508">
        <v>1400</v>
      </c>
      <c r="G9" s="364">
        <v>2575</v>
      </c>
      <c r="H9" s="509">
        <v>1381.01</v>
      </c>
      <c r="I9" s="395">
        <v>1076</v>
      </c>
      <c r="J9" s="396">
        <v>243</v>
      </c>
      <c r="K9" s="510">
        <v>81</v>
      </c>
      <c r="L9" s="366">
        <f>SUM(I9:K9)</f>
        <v>1400</v>
      </c>
      <c r="M9" s="398">
        <f t="shared" ref="M9:M14" si="0">L9/F9*100</f>
        <v>100</v>
      </c>
      <c r="N9" s="520">
        <f t="shared" ref="N9:N14" si="1">L9/G9*100</f>
        <v>54.368932038834949</v>
      </c>
      <c r="O9" s="147"/>
      <c r="P9" s="147"/>
      <c r="Q9" s="147"/>
      <c r="R9" s="147"/>
      <c r="S9" s="147"/>
      <c r="T9" s="147"/>
      <c r="U9" s="147"/>
      <c r="V9" s="147"/>
      <c r="W9" s="147"/>
    </row>
    <row r="10" spans="1:23" s="143" customFormat="1" ht="15" customHeight="1" x14ac:dyDescent="0.2">
      <c r="A10" s="1463"/>
      <c r="B10" s="954" t="s">
        <v>133</v>
      </c>
      <c r="C10" s="180" t="s">
        <v>238</v>
      </c>
      <c r="D10" s="230">
        <v>1570</v>
      </c>
      <c r="E10" s="231">
        <v>299</v>
      </c>
      <c r="F10" s="232">
        <v>970</v>
      </c>
      <c r="G10" s="169">
        <v>1815.42</v>
      </c>
      <c r="H10" s="233">
        <v>901.96</v>
      </c>
      <c r="I10" s="171">
        <v>800</v>
      </c>
      <c r="J10" s="172">
        <v>120</v>
      </c>
      <c r="K10" s="234">
        <v>50</v>
      </c>
      <c r="L10" s="164">
        <f>SUM(I10:K10)</f>
        <v>970</v>
      </c>
      <c r="M10" s="228">
        <f t="shared" si="0"/>
        <v>100</v>
      </c>
      <c r="N10" s="167">
        <f t="shared" si="1"/>
        <v>53.431161934979229</v>
      </c>
    </row>
    <row r="11" spans="1:23" s="20" customFormat="1" ht="15" customHeight="1" x14ac:dyDescent="0.2">
      <c r="A11" s="1461">
        <v>3613</v>
      </c>
      <c r="B11" s="1578" t="s">
        <v>239</v>
      </c>
      <c r="C11" s="1579"/>
      <c r="D11" s="443">
        <v>8007</v>
      </c>
      <c r="E11" s="485">
        <v>29200.1</v>
      </c>
      <c r="F11" s="494">
        <v>9327</v>
      </c>
      <c r="G11" s="370">
        <v>182653.06</v>
      </c>
      <c r="H11" s="512">
        <v>16340.83</v>
      </c>
      <c r="I11" s="496">
        <v>8735</v>
      </c>
      <c r="J11" s="484">
        <v>910</v>
      </c>
      <c r="K11" s="513">
        <v>455</v>
      </c>
      <c r="L11" s="373">
        <f>SUM(I11:K11)</f>
        <v>10100</v>
      </c>
      <c r="M11" s="408">
        <f t="shared" si="0"/>
        <v>108.28776669883136</v>
      </c>
      <c r="N11" s="521">
        <f t="shared" si="1"/>
        <v>5.5296089756174904</v>
      </c>
      <c r="O11" s="19"/>
    </row>
    <row r="12" spans="1:23" s="20" customFormat="1" ht="15" customHeight="1" x14ac:dyDescent="0.2">
      <c r="A12" s="1463"/>
      <c r="B12" s="954" t="s">
        <v>133</v>
      </c>
      <c r="C12" s="180" t="s">
        <v>238</v>
      </c>
      <c r="D12" s="230">
        <v>2480</v>
      </c>
      <c r="E12" s="231">
        <v>2156.5</v>
      </c>
      <c r="F12" s="232">
        <v>4200</v>
      </c>
      <c r="G12" s="169">
        <v>3228.06</v>
      </c>
      <c r="H12" s="233">
        <v>1220.74</v>
      </c>
      <c r="I12" s="171">
        <v>3360</v>
      </c>
      <c r="J12" s="172">
        <v>630</v>
      </c>
      <c r="K12" s="234">
        <v>210</v>
      </c>
      <c r="L12" s="156">
        <f t="shared" ref="L12:L13" si="2">SUM(I12:K12)</f>
        <v>4200</v>
      </c>
      <c r="M12" s="228">
        <f t="shared" si="0"/>
        <v>100</v>
      </c>
      <c r="N12" s="167">
        <f t="shared" si="1"/>
        <v>130.109105778703</v>
      </c>
      <c r="O12" s="19"/>
    </row>
    <row r="13" spans="1:23" s="20" customFormat="1" ht="15" customHeight="1" thickBot="1" x14ac:dyDescent="0.25">
      <c r="A13" s="431">
        <v>6172</v>
      </c>
      <c r="B13" s="1592" t="s">
        <v>160</v>
      </c>
      <c r="C13" s="1593"/>
      <c r="D13" s="402">
        <v>2430</v>
      </c>
      <c r="E13" s="403">
        <v>16053.3</v>
      </c>
      <c r="F13" s="522">
        <v>2100</v>
      </c>
      <c r="G13" s="382">
        <v>30225.55</v>
      </c>
      <c r="H13" s="527">
        <v>2214.77</v>
      </c>
      <c r="I13" s="405">
        <v>2327</v>
      </c>
      <c r="J13" s="406">
        <v>0</v>
      </c>
      <c r="K13" s="525">
        <v>0</v>
      </c>
      <c r="L13" s="373">
        <f t="shared" si="2"/>
        <v>2327</v>
      </c>
      <c r="M13" s="408">
        <f t="shared" si="0"/>
        <v>110.8095238095238</v>
      </c>
      <c r="N13" s="385">
        <f t="shared" si="1"/>
        <v>7.6987846375003928</v>
      </c>
      <c r="O13" s="19"/>
    </row>
    <row r="14" spans="1:23" s="22" customFormat="1" ht="16.5" thickBot="1" x14ac:dyDescent="0.3">
      <c r="A14" s="973"/>
      <c r="B14" s="974" t="s">
        <v>99</v>
      </c>
      <c r="C14" s="975"/>
      <c r="D14" s="956">
        <f>+D9+D11+D13</f>
        <v>12827</v>
      </c>
      <c r="E14" s="957">
        <f t="shared" ref="E14:L14" si="3">+E9+E11+E13</f>
        <v>46036.800000000003</v>
      </c>
      <c r="F14" s="956">
        <f t="shared" si="3"/>
        <v>12827</v>
      </c>
      <c r="G14" s="958">
        <f t="shared" si="3"/>
        <v>215453.61</v>
      </c>
      <c r="H14" s="957">
        <f t="shared" si="3"/>
        <v>19936.61</v>
      </c>
      <c r="I14" s="956">
        <f t="shared" si="3"/>
        <v>12138</v>
      </c>
      <c r="J14" s="959">
        <f t="shared" si="3"/>
        <v>1153</v>
      </c>
      <c r="K14" s="976">
        <f t="shared" si="3"/>
        <v>536</v>
      </c>
      <c r="L14" s="221">
        <f t="shared" si="3"/>
        <v>13827</v>
      </c>
      <c r="M14" s="977">
        <f t="shared" si="0"/>
        <v>107.79605519607078</v>
      </c>
      <c r="N14" s="962">
        <f t="shared" si="1"/>
        <v>6.4176228005648177</v>
      </c>
      <c r="O14" s="21"/>
    </row>
    <row r="15" spans="1:23" ht="15" customHeight="1" x14ac:dyDescent="0.25">
      <c r="A15" s="23"/>
      <c r="B15" s="23"/>
      <c r="C15" s="23"/>
      <c r="D15" s="910"/>
      <c r="E15" s="909"/>
      <c r="F15" s="910"/>
      <c r="G15" s="1224"/>
      <c r="H15" s="1224"/>
      <c r="I15" s="27"/>
      <c r="J15" s="27"/>
      <c r="K15" s="27"/>
      <c r="L15" s="27"/>
      <c r="M15" s="28"/>
      <c r="N15" s="29"/>
      <c r="O15" s="19"/>
    </row>
    <row r="16" spans="1:23" x14ac:dyDescent="0.2">
      <c r="L16" s="2"/>
    </row>
    <row r="20" spans="1:1" x14ac:dyDescent="0.2">
      <c r="A20" s="47"/>
    </row>
    <row r="21" spans="1:1" x14ac:dyDescent="0.2">
      <c r="A21" s="47"/>
    </row>
    <row r="22" spans="1:1" x14ac:dyDescent="0.2">
      <c r="A22" s="47"/>
    </row>
    <row r="24" spans="1:1" x14ac:dyDescent="0.2">
      <c r="A24" s="47"/>
    </row>
    <row r="25" spans="1:1" x14ac:dyDescent="0.2">
      <c r="A25" s="47"/>
    </row>
  </sheetData>
  <mergeCells count="13">
    <mergeCell ref="B13:C13"/>
    <mergeCell ref="A9:A10"/>
    <mergeCell ref="A11:A12"/>
    <mergeCell ref="A2:N2"/>
    <mergeCell ref="A6:A7"/>
    <mergeCell ref="D6:E6"/>
    <mergeCell ref="F6:H6"/>
    <mergeCell ref="I6:L6"/>
    <mergeCell ref="M6:M7"/>
    <mergeCell ref="N6:N7"/>
    <mergeCell ref="B6:C7"/>
    <mergeCell ref="B11:C11"/>
    <mergeCell ref="B9:C9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/>
  </sheetViews>
  <sheetFormatPr defaultRowHeight="12.75" x14ac:dyDescent="0.2"/>
  <cols>
    <col min="1" max="1" width="7.7109375" style="1" customWidth="1"/>
    <col min="2" max="2" width="46.7109375" style="1" customWidth="1"/>
    <col min="3" max="3" width="14.7109375" style="2" customWidth="1"/>
    <col min="4" max="4" width="14.7109375" style="3" customWidth="1"/>
    <col min="5" max="5" width="14.7109375" style="2" customWidth="1"/>
    <col min="6" max="7" width="14.7109375" style="3" customWidth="1"/>
    <col min="8" max="8" width="14.7109375" style="2" customWidth="1"/>
    <col min="9" max="9" width="15.42578125" style="2" customWidth="1"/>
    <col min="10" max="10" width="14.7109375" style="2" customWidth="1"/>
    <col min="11" max="11" width="14.7109375" style="4" customWidth="1"/>
    <col min="12" max="13" width="9.7109375" style="5" customWidth="1"/>
    <col min="14" max="256" width="9.140625" style="1"/>
    <col min="257" max="257" width="8.7109375" style="1" customWidth="1"/>
    <col min="258" max="258" width="41.5703125" style="1" customWidth="1"/>
    <col min="259" max="259" width="13.28515625" style="1" customWidth="1"/>
    <col min="260" max="260" width="14.7109375" style="1" customWidth="1"/>
    <col min="261" max="261" width="13.42578125" style="1" customWidth="1"/>
    <col min="262" max="266" width="14.7109375" style="1" customWidth="1"/>
    <col min="267" max="267" width="16.7109375" style="1" customWidth="1"/>
    <col min="268" max="268" width="9.85546875" style="1" customWidth="1"/>
    <col min="269" max="269" width="7.42578125" style="1" customWidth="1"/>
    <col min="270" max="512" width="9.140625" style="1"/>
    <col min="513" max="513" width="8.7109375" style="1" customWidth="1"/>
    <col min="514" max="514" width="41.5703125" style="1" customWidth="1"/>
    <col min="515" max="515" width="13.28515625" style="1" customWidth="1"/>
    <col min="516" max="516" width="14.7109375" style="1" customWidth="1"/>
    <col min="517" max="517" width="13.42578125" style="1" customWidth="1"/>
    <col min="518" max="522" width="14.7109375" style="1" customWidth="1"/>
    <col min="523" max="523" width="16.7109375" style="1" customWidth="1"/>
    <col min="524" max="524" width="9.85546875" style="1" customWidth="1"/>
    <col min="525" max="525" width="7.42578125" style="1" customWidth="1"/>
    <col min="526" max="768" width="9.140625" style="1"/>
    <col min="769" max="769" width="8.7109375" style="1" customWidth="1"/>
    <col min="770" max="770" width="41.5703125" style="1" customWidth="1"/>
    <col min="771" max="771" width="13.28515625" style="1" customWidth="1"/>
    <col min="772" max="772" width="14.7109375" style="1" customWidth="1"/>
    <col min="773" max="773" width="13.42578125" style="1" customWidth="1"/>
    <col min="774" max="778" width="14.7109375" style="1" customWidth="1"/>
    <col min="779" max="779" width="16.7109375" style="1" customWidth="1"/>
    <col min="780" max="780" width="9.85546875" style="1" customWidth="1"/>
    <col min="781" max="781" width="7.42578125" style="1" customWidth="1"/>
    <col min="782" max="1024" width="9.140625" style="1"/>
    <col min="1025" max="1025" width="8.7109375" style="1" customWidth="1"/>
    <col min="1026" max="1026" width="41.5703125" style="1" customWidth="1"/>
    <col min="1027" max="1027" width="13.28515625" style="1" customWidth="1"/>
    <col min="1028" max="1028" width="14.7109375" style="1" customWidth="1"/>
    <col min="1029" max="1029" width="13.42578125" style="1" customWidth="1"/>
    <col min="1030" max="1034" width="14.7109375" style="1" customWidth="1"/>
    <col min="1035" max="1035" width="16.7109375" style="1" customWidth="1"/>
    <col min="1036" max="1036" width="9.85546875" style="1" customWidth="1"/>
    <col min="1037" max="1037" width="7.42578125" style="1" customWidth="1"/>
    <col min="1038" max="1280" width="9.140625" style="1"/>
    <col min="1281" max="1281" width="8.7109375" style="1" customWidth="1"/>
    <col min="1282" max="1282" width="41.5703125" style="1" customWidth="1"/>
    <col min="1283" max="1283" width="13.28515625" style="1" customWidth="1"/>
    <col min="1284" max="1284" width="14.7109375" style="1" customWidth="1"/>
    <col min="1285" max="1285" width="13.42578125" style="1" customWidth="1"/>
    <col min="1286" max="1290" width="14.7109375" style="1" customWidth="1"/>
    <col min="1291" max="1291" width="16.7109375" style="1" customWidth="1"/>
    <col min="1292" max="1292" width="9.85546875" style="1" customWidth="1"/>
    <col min="1293" max="1293" width="7.42578125" style="1" customWidth="1"/>
    <col min="1294" max="1536" width="9.140625" style="1"/>
    <col min="1537" max="1537" width="8.7109375" style="1" customWidth="1"/>
    <col min="1538" max="1538" width="41.5703125" style="1" customWidth="1"/>
    <col min="1539" max="1539" width="13.28515625" style="1" customWidth="1"/>
    <col min="1540" max="1540" width="14.7109375" style="1" customWidth="1"/>
    <col min="1541" max="1541" width="13.42578125" style="1" customWidth="1"/>
    <col min="1542" max="1546" width="14.7109375" style="1" customWidth="1"/>
    <col min="1547" max="1547" width="16.7109375" style="1" customWidth="1"/>
    <col min="1548" max="1548" width="9.85546875" style="1" customWidth="1"/>
    <col min="1549" max="1549" width="7.42578125" style="1" customWidth="1"/>
    <col min="1550" max="1792" width="9.140625" style="1"/>
    <col min="1793" max="1793" width="8.7109375" style="1" customWidth="1"/>
    <col min="1794" max="1794" width="41.5703125" style="1" customWidth="1"/>
    <col min="1795" max="1795" width="13.28515625" style="1" customWidth="1"/>
    <col min="1796" max="1796" width="14.7109375" style="1" customWidth="1"/>
    <col min="1797" max="1797" width="13.42578125" style="1" customWidth="1"/>
    <col min="1798" max="1802" width="14.7109375" style="1" customWidth="1"/>
    <col min="1803" max="1803" width="16.7109375" style="1" customWidth="1"/>
    <col min="1804" max="1804" width="9.85546875" style="1" customWidth="1"/>
    <col min="1805" max="1805" width="7.42578125" style="1" customWidth="1"/>
    <col min="1806" max="2048" width="9.140625" style="1"/>
    <col min="2049" max="2049" width="8.7109375" style="1" customWidth="1"/>
    <col min="2050" max="2050" width="41.5703125" style="1" customWidth="1"/>
    <col min="2051" max="2051" width="13.28515625" style="1" customWidth="1"/>
    <col min="2052" max="2052" width="14.7109375" style="1" customWidth="1"/>
    <col min="2053" max="2053" width="13.42578125" style="1" customWidth="1"/>
    <col min="2054" max="2058" width="14.7109375" style="1" customWidth="1"/>
    <col min="2059" max="2059" width="16.7109375" style="1" customWidth="1"/>
    <col min="2060" max="2060" width="9.85546875" style="1" customWidth="1"/>
    <col min="2061" max="2061" width="7.42578125" style="1" customWidth="1"/>
    <col min="2062" max="2304" width="9.140625" style="1"/>
    <col min="2305" max="2305" width="8.7109375" style="1" customWidth="1"/>
    <col min="2306" max="2306" width="41.5703125" style="1" customWidth="1"/>
    <col min="2307" max="2307" width="13.28515625" style="1" customWidth="1"/>
    <col min="2308" max="2308" width="14.7109375" style="1" customWidth="1"/>
    <col min="2309" max="2309" width="13.42578125" style="1" customWidth="1"/>
    <col min="2310" max="2314" width="14.7109375" style="1" customWidth="1"/>
    <col min="2315" max="2315" width="16.7109375" style="1" customWidth="1"/>
    <col min="2316" max="2316" width="9.85546875" style="1" customWidth="1"/>
    <col min="2317" max="2317" width="7.42578125" style="1" customWidth="1"/>
    <col min="2318" max="2560" width="9.140625" style="1"/>
    <col min="2561" max="2561" width="8.7109375" style="1" customWidth="1"/>
    <col min="2562" max="2562" width="41.5703125" style="1" customWidth="1"/>
    <col min="2563" max="2563" width="13.28515625" style="1" customWidth="1"/>
    <col min="2564" max="2564" width="14.7109375" style="1" customWidth="1"/>
    <col min="2565" max="2565" width="13.42578125" style="1" customWidth="1"/>
    <col min="2566" max="2570" width="14.7109375" style="1" customWidth="1"/>
    <col min="2571" max="2571" width="16.7109375" style="1" customWidth="1"/>
    <col min="2572" max="2572" width="9.85546875" style="1" customWidth="1"/>
    <col min="2573" max="2573" width="7.42578125" style="1" customWidth="1"/>
    <col min="2574" max="2816" width="9.140625" style="1"/>
    <col min="2817" max="2817" width="8.7109375" style="1" customWidth="1"/>
    <col min="2818" max="2818" width="41.5703125" style="1" customWidth="1"/>
    <col min="2819" max="2819" width="13.28515625" style="1" customWidth="1"/>
    <col min="2820" max="2820" width="14.7109375" style="1" customWidth="1"/>
    <col min="2821" max="2821" width="13.42578125" style="1" customWidth="1"/>
    <col min="2822" max="2826" width="14.7109375" style="1" customWidth="1"/>
    <col min="2827" max="2827" width="16.7109375" style="1" customWidth="1"/>
    <col min="2828" max="2828" width="9.85546875" style="1" customWidth="1"/>
    <col min="2829" max="2829" width="7.42578125" style="1" customWidth="1"/>
    <col min="2830" max="3072" width="9.140625" style="1"/>
    <col min="3073" max="3073" width="8.7109375" style="1" customWidth="1"/>
    <col min="3074" max="3074" width="41.5703125" style="1" customWidth="1"/>
    <col min="3075" max="3075" width="13.28515625" style="1" customWidth="1"/>
    <col min="3076" max="3076" width="14.7109375" style="1" customWidth="1"/>
    <col min="3077" max="3077" width="13.42578125" style="1" customWidth="1"/>
    <col min="3078" max="3082" width="14.7109375" style="1" customWidth="1"/>
    <col min="3083" max="3083" width="16.7109375" style="1" customWidth="1"/>
    <col min="3084" max="3084" width="9.85546875" style="1" customWidth="1"/>
    <col min="3085" max="3085" width="7.42578125" style="1" customWidth="1"/>
    <col min="3086" max="3328" width="9.140625" style="1"/>
    <col min="3329" max="3329" width="8.7109375" style="1" customWidth="1"/>
    <col min="3330" max="3330" width="41.5703125" style="1" customWidth="1"/>
    <col min="3331" max="3331" width="13.28515625" style="1" customWidth="1"/>
    <col min="3332" max="3332" width="14.7109375" style="1" customWidth="1"/>
    <col min="3333" max="3333" width="13.42578125" style="1" customWidth="1"/>
    <col min="3334" max="3338" width="14.7109375" style="1" customWidth="1"/>
    <col min="3339" max="3339" width="16.7109375" style="1" customWidth="1"/>
    <col min="3340" max="3340" width="9.85546875" style="1" customWidth="1"/>
    <col min="3341" max="3341" width="7.42578125" style="1" customWidth="1"/>
    <col min="3342" max="3584" width="9.140625" style="1"/>
    <col min="3585" max="3585" width="8.7109375" style="1" customWidth="1"/>
    <col min="3586" max="3586" width="41.5703125" style="1" customWidth="1"/>
    <col min="3587" max="3587" width="13.28515625" style="1" customWidth="1"/>
    <col min="3588" max="3588" width="14.7109375" style="1" customWidth="1"/>
    <col min="3589" max="3589" width="13.42578125" style="1" customWidth="1"/>
    <col min="3590" max="3594" width="14.7109375" style="1" customWidth="1"/>
    <col min="3595" max="3595" width="16.7109375" style="1" customWidth="1"/>
    <col min="3596" max="3596" width="9.85546875" style="1" customWidth="1"/>
    <col min="3597" max="3597" width="7.42578125" style="1" customWidth="1"/>
    <col min="3598" max="3840" width="9.140625" style="1"/>
    <col min="3841" max="3841" width="8.7109375" style="1" customWidth="1"/>
    <col min="3842" max="3842" width="41.5703125" style="1" customWidth="1"/>
    <col min="3843" max="3843" width="13.28515625" style="1" customWidth="1"/>
    <col min="3844" max="3844" width="14.7109375" style="1" customWidth="1"/>
    <col min="3845" max="3845" width="13.42578125" style="1" customWidth="1"/>
    <col min="3846" max="3850" width="14.7109375" style="1" customWidth="1"/>
    <col min="3851" max="3851" width="16.7109375" style="1" customWidth="1"/>
    <col min="3852" max="3852" width="9.85546875" style="1" customWidth="1"/>
    <col min="3853" max="3853" width="7.42578125" style="1" customWidth="1"/>
    <col min="3854" max="4096" width="9.140625" style="1"/>
    <col min="4097" max="4097" width="8.7109375" style="1" customWidth="1"/>
    <col min="4098" max="4098" width="41.5703125" style="1" customWidth="1"/>
    <col min="4099" max="4099" width="13.28515625" style="1" customWidth="1"/>
    <col min="4100" max="4100" width="14.7109375" style="1" customWidth="1"/>
    <col min="4101" max="4101" width="13.42578125" style="1" customWidth="1"/>
    <col min="4102" max="4106" width="14.7109375" style="1" customWidth="1"/>
    <col min="4107" max="4107" width="16.7109375" style="1" customWidth="1"/>
    <col min="4108" max="4108" width="9.85546875" style="1" customWidth="1"/>
    <col min="4109" max="4109" width="7.42578125" style="1" customWidth="1"/>
    <col min="4110" max="4352" width="9.140625" style="1"/>
    <col min="4353" max="4353" width="8.7109375" style="1" customWidth="1"/>
    <col min="4354" max="4354" width="41.5703125" style="1" customWidth="1"/>
    <col min="4355" max="4355" width="13.28515625" style="1" customWidth="1"/>
    <col min="4356" max="4356" width="14.7109375" style="1" customWidth="1"/>
    <col min="4357" max="4357" width="13.42578125" style="1" customWidth="1"/>
    <col min="4358" max="4362" width="14.7109375" style="1" customWidth="1"/>
    <col min="4363" max="4363" width="16.7109375" style="1" customWidth="1"/>
    <col min="4364" max="4364" width="9.85546875" style="1" customWidth="1"/>
    <col min="4365" max="4365" width="7.42578125" style="1" customWidth="1"/>
    <col min="4366" max="4608" width="9.140625" style="1"/>
    <col min="4609" max="4609" width="8.7109375" style="1" customWidth="1"/>
    <col min="4610" max="4610" width="41.5703125" style="1" customWidth="1"/>
    <col min="4611" max="4611" width="13.28515625" style="1" customWidth="1"/>
    <col min="4612" max="4612" width="14.7109375" style="1" customWidth="1"/>
    <col min="4613" max="4613" width="13.42578125" style="1" customWidth="1"/>
    <col min="4614" max="4618" width="14.7109375" style="1" customWidth="1"/>
    <col min="4619" max="4619" width="16.7109375" style="1" customWidth="1"/>
    <col min="4620" max="4620" width="9.85546875" style="1" customWidth="1"/>
    <col min="4621" max="4621" width="7.42578125" style="1" customWidth="1"/>
    <col min="4622" max="4864" width="9.140625" style="1"/>
    <col min="4865" max="4865" width="8.7109375" style="1" customWidth="1"/>
    <col min="4866" max="4866" width="41.5703125" style="1" customWidth="1"/>
    <col min="4867" max="4867" width="13.28515625" style="1" customWidth="1"/>
    <col min="4868" max="4868" width="14.7109375" style="1" customWidth="1"/>
    <col min="4869" max="4869" width="13.42578125" style="1" customWidth="1"/>
    <col min="4870" max="4874" width="14.7109375" style="1" customWidth="1"/>
    <col min="4875" max="4875" width="16.7109375" style="1" customWidth="1"/>
    <col min="4876" max="4876" width="9.85546875" style="1" customWidth="1"/>
    <col min="4877" max="4877" width="7.42578125" style="1" customWidth="1"/>
    <col min="4878" max="5120" width="9.140625" style="1"/>
    <col min="5121" max="5121" width="8.7109375" style="1" customWidth="1"/>
    <col min="5122" max="5122" width="41.5703125" style="1" customWidth="1"/>
    <col min="5123" max="5123" width="13.28515625" style="1" customWidth="1"/>
    <col min="5124" max="5124" width="14.7109375" style="1" customWidth="1"/>
    <col min="5125" max="5125" width="13.42578125" style="1" customWidth="1"/>
    <col min="5126" max="5130" width="14.7109375" style="1" customWidth="1"/>
    <col min="5131" max="5131" width="16.7109375" style="1" customWidth="1"/>
    <col min="5132" max="5132" width="9.85546875" style="1" customWidth="1"/>
    <col min="5133" max="5133" width="7.42578125" style="1" customWidth="1"/>
    <col min="5134" max="5376" width="9.140625" style="1"/>
    <col min="5377" max="5377" width="8.7109375" style="1" customWidth="1"/>
    <col min="5378" max="5378" width="41.5703125" style="1" customWidth="1"/>
    <col min="5379" max="5379" width="13.28515625" style="1" customWidth="1"/>
    <col min="5380" max="5380" width="14.7109375" style="1" customWidth="1"/>
    <col min="5381" max="5381" width="13.42578125" style="1" customWidth="1"/>
    <col min="5382" max="5386" width="14.7109375" style="1" customWidth="1"/>
    <col min="5387" max="5387" width="16.7109375" style="1" customWidth="1"/>
    <col min="5388" max="5388" width="9.85546875" style="1" customWidth="1"/>
    <col min="5389" max="5389" width="7.42578125" style="1" customWidth="1"/>
    <col min="5390" max="5632" width="9.140625" style="1"/>
    <col min="5633" max="5633" width="8.7109375" style="1" customWidth="1"/>
    <col min="5634" max="5634" width="41.5703125" style="1" customWidth="1"/>
    <col min="5635" max="5635" width="13.28515625" style="1" customWidth="1"/>
    <col min="5636" max="5636" width="14.7109375" style="1" customWidth="1"/>
    <col min="5637" max="5637" width="13.42578125" style="1" customWidth="1"/>
    <col min="5638" max="5642" width="14.7109375" style="1" customWidth="1"/>
    <col min="5643" max="5643" width="16.7109375" style="1" customWidth="1"/>
    <col min="5644" max="5644" width="9.85546875" style="1" customWidth="1"/>
    <col min="5645" max="5645" width="7.42578125" style="1" customWidth="1"/>
    <col min="5646" max="5888" width="9.140625" style="1"/>
    <col min="5889" max="5889" width="8.7109375" style="1" customWidth="1"/>
    <col min="5890" max="5890" width="41.5703125" style="1" customWidth="1"/>
    <col min="5891" max="5891" width="13.28515625" style="1" customWidth="1"/>
    <col min="5892" max="5892" width="14.7109375" style="1" customWidth="1"/>
    <col min="5893" max="5893" width="13.42578125" style="1" customWidth="1"/>
    <col min="5894" max="5898" width="14.7109375" style="1" customWidth="1"/>
    <col min="5899" max="5899" width="16.7109375" style="1" customWidth="1"/>
    <col min="5900" max="5900" width="9.85546875" style="1" customWidth="1"/>
    <col min="5901" max="5901" width="7.42578125" style="1" customWidth="1"/>
    <col min="5902" max="6144" width="9.140625" style="1"/>
    <col min="6145" max="6145" width="8.7109375" style="1" customWidth="1"/>
    <col min="6146" max="6146" width="41.5703125" style="1" customWidth="1"/>
    <col min="6147" max="6147" width="13.28515625" style="1" customWidth="1"/>
    <col min="6148" max="6148" width="14.7109375" style="1" customWidth="1"/>
    <col min="6149" max="6149" width="13.42578125" style="1" customWidth="1"/>
    <col min="6150" max="6154" width="14.7109375" style="1" customWidth="1"/>
    <col min="6155" max="6155" width="16.7109375" style="1" customWidth="1"/>
    <col min="6156" max="6156" width="9.85546875" style="1" customWidth="1"/>
    <col min="6157" max="6157" width="7.42578125" style="1" customWidth="1"/>
    <col min="6158" max="6400" width="9.140625" style="1"/>
    <col min="6401" max="6401" width="8.7109375" style="1" customWidth="1"/>
    <col min="6402" max="6402" width="41.5703125" style="1" customWidth="1"/>
    <col min="6403" max="6403" width="13.28515625" style="1" customWidth="1"/>
    <col min="6404" max="6404" width="14.7109375" style="1" customWidth="1"/>
    <col min="6405" max="6405" width="13.42578125" style="1" customWidth="1"/>
    <col min="6406" max="6410" width="14.7109375" style="1" customWidth="1"/>
    <col min="6411" max="6411" width="16.7109375" style="1" customWidth="1"/>
    <col min="6412" max="6412" width="9.85546875" style="1" customWidth="1"/>
    <col min="6413" max="6413" width="7.42578125" style="1" customWidth="1"/>
    <col min="6414" max="6656" width="9.140625" style="1"/>
    <col min="6657" max="6657" width="8.7109375" style="1" customWidth="1"/>
    <col min="6658" max="6658" width="41.5703125" style="1" customWidth="1"/>
    <col min="6659" max="6659" width="13.28515625" style="1" customWidth="1"/>
    <col min="6660" max="6660" width="14.7109375" style="1" customWidth="1"/>
    <col min="6661" max="6661" width="13.42578125" style="1" customWidth="1"/>
    <col min="6662" max="6666" width="14.7109375" style="1" customWidth="1"/>
    <col min="6667" max="6667" width="16.7109375" style="1" customWidth="1"/>
    <col min="6668" max="6668" width="9.85546875" style="1" customWidth="1"/>
    <col min="6669" max="6669" width="7.42578125" style="1" customWidth="1"/>
    <col min="6670" max="6912" width="9.140625" style="1"/>
    <col min="6913" max="6913" width="8.7109375" style="1" customWidth="1"/>
    <col min="6914" max="6914" width="41.5703125" style="1" customWidth="1"/>
    <col min="6915" max="6915" width="13.28515625" style="1" customWidth="1"/>
    <col min="6916" max="6916" width="14.7109375" style="1" customWidth="1"/>
    <col min="6917" max="6917" width="13.42578125" style="1" customWidth="1"/>
    <col min="6918" max="6922" width="14.7109375" style="1" customWidth="1"/>
    <col min="6923" max="6923" width="16.7109375" style="1" customWidth="1"/>
    <col min="6924" max="6924" width="9.85546875" style="1" customWidth="1"/>
    <col min="6925" max="6925" width="7.42578125" style="1" customWidth="1"/>
    <col min="6926" max="7168" width="9.140625" style="1"/>
    <col min="7169" max="7169" width="8.7109375" style="1" customWidth="1"/>
    <col min="7170" max="7170" width="41.5703125" style="1" customWidth="1"/>
    <col min="7171" max="7171" width="13.28515625" style="1" customWidth="1"/>
    <col min="7172" max="7172" width="14.7109375" style="1" customWidth="1"/>
    <col min="7173" max="7173" width="13.42578125" style="1" customWidth="1"/>
    <col min="7174" max="7178" width="14.7109375" style="1" customWidth="1"/>
    <col min="7179" max="7179" width="16.7109375" style="1" customWidth="1"/>
    <col min="7180" max="7180" width="9.85546875" style="1" customWidth="1"/>
    <col min="7181" max="7181" width="7.42578125" style="1" customWidth="1"/>
    <col min="7182" max="7424" width="9.140625" style="1"/>
    <col min="7425" max="7425" width="8.7109375" style="1" customWidth="1"/>
    <col min="7426" max="7426" width="41.5703125" style="1" customWidth="1"/>
    <col min="7427" max="7427" width="13.28515625" style="1" customWidth="1"/>
    <col min="7428" max="7428" width="14.7109375" style="1" customWidth="1"/>
    <col min="7429" max="7429" width="13.42578125" style="1" customWidth="1"/>
    <col min="7430" max="7434" width="14.7109375" style="1" customWidth="1"/>
    <col min="7435" max="7435" width="16.7109375" style="1" customWidth="1"/>
    <col min="7436" max="7436" width="9.85546875" style="1" customWidth="1"/>
    <col min="7437" max="7437" width="7.42578125" style="1" customWidth="1"/>
    <col min="7438" max="7680" width="9.140625" style="1"/>
    <col min="7681" max="7681" width="8.7109375" style="1" customWidth="1"/>
    <col min="7682" max="7682" width="41.5703125" style="1" customWidth="1"/>
    <col min="7683" max="7683" width="13.28515625" style="1" customWidth="1"/>
    <col min="7684" max="7684" width="14.7109375" style="1" customWidth="1"/>
    <col min="7685" max="7685" width="13.42578125" style="1" customWidth="1"/>
    <col min="7686" max="7690" width="14.7109375" style="1" customWidth="1"/>
    <col min="7691" max="7691" width="16.7109375" style="1" customWidth="1"/>
    <col min="7692" max="7692" width="9.85546875" style="1" customWidth="1"/>
    <col min="7693" max="7693" width="7.42578125" style="1" customWidth="1"/>
    <col min="7694" max="7936" width="9.140625" style="1"/>
    <col min="7937" max="7937" width="8.7109375" style="1" customWidth="1"/>
    <col min="7938" max="7938" width="41.5703125" style="1" customWidth="1"/>
    <col min="7939" max="7939" width="13.28515625" style="1" customWidth="1"/>
    <col min="7940" max="7940" width="14.7109375" style="1" customWidth="1"/>
    <col min="7941" max="7941" width="13.42578125" style="1" customWidth="1"/>
    <col min="7942" max="7946" width="14.7109375" style="1" customWidth="1"/>
    <col min="7947" max="7947" width="16.7109375" style="1" customWidth="1"/>
    <col min="7948" max="7948" width="9.85546875" style="1" customWidth="1"/>
    <col min="7949" max="7949" width="7.42578125" style="1" customWidth="1"/>
    <col min="7950" max="8192" width="9.140625" style="1"/>
    <col min="8193" max="8193" width="8.7109375" style="1" customWidth="1"/>
    <col min="8194" max="8194" width="41.5703125" style="1" customWidth="1"/>
    <col min="8195" max="8195" width="13.28515625" style="1" customWidth="1"/>
    <col min="8196" max="8196" width="14.7109375" style="1" customWidth="1"/>
    <col min="8197" max="8197" width="13.42578125" style="1" customWidth="1"/>
    <col min="8198" max="8202" width="14.7109375" style="1" customWidth="1"/>
    <col min="8203" max="8203" width="16.7109375" style="1" customWidth="1"/>
    <col min="8204" max="8204" width="9.85546875" style="1" customWidth="1"/>
    <col min="8205" max="8205" width="7.42578125" style="1" customWidth="1"/>
    <col min="8206" max="8448" width="9.140625" style="1"/>
    <col min="8449" max="8449" width="8.7109375" style="1" customWidth="1"/>
    <col min="8450" max="8450" width="41.5703125" style="1" customWidth="1"/>
    <col min="8451" max="8451" width="13.28515625" style="1" customWidth="1"/>
    <col min="8452" max="8452" width="14.7109375" style="1" customWidth="1"/>
    <col min="8453" max="8453" width="13.42578125" style="1" customWidth="1"/>
    <col min="8454" max="8458" width="14.7109375" style="1" customWidth="1"/>
    <col min="8459" max="8459" width="16.7109375" style="1" customWidth="1"/>
    <col min="8460" max="8460" width="9.85546875" style="1" customWidth="1"/>
    <col min="8461" max="8461" width="7.42578125" style="1" customWidth="1"/>
    <col min="8462" max="8704" width="9.140625" style="1"/>
    <col min="8705" max="8705" width="8.7109375" style="1" customWidth="1"/>
    <col min="8706" max="8706" width="41.5703125" style="1" customWidth="1"/>
    <col min="8707" max="8707" width="13.28515625" style="1" customWidth="1"/>
    <col min="8708" max="8708" width="14.7109375" style="1" customWidth="1"/>
    <col min="8709" max="8709" width="13.42578125" style="1" customWidth="1"/>
    <col min="8710" max="8714" width="14.7109375" style="1" customWidth="1"/>
    <col min="8715" max="8715" width="16.7109375" style="1" customWidth="1"/>
    <col min="8716" max="8716" width="9.85546875" style="1" customWidth="1"/>
    <col min="8717" max="8717" width="7.42578125" style="1" customWidth="1"/>
    <col min="8718" max="8960" width="9.140625" style="1"/>
    <col min="8961" max="8961" width="8.7109375" style="1" customWidth="1"/>
    <col min="8962" max="8962" width="41.5703125" style="1" customWidth="1"/>
    <col min="8963" max="8963" width="13.28515625" style="1" customWidth="1"/>
    <col min="8964" max="8964" width="14.7109375" style="1" customWidth="1"/>
    <col min="8965" max="8965" width="13.42578125" style="1" customWidth="1"/>
    <col min="8966" max="8970" width="14.7109375" style="1" customWidth="1"/>
    <col min="8971" max="8971" width="16.7109375" style="1" customWidth="1"/>
    <col min="8972" max="8972" width="9.85546875" style="1" customWidth="1"/>
    <col min="8973" max="8973" width="7.42578125" style="1" customWidth="1"/>
    <col min="8974" max="9216" width="9.140625" style="1"/>
    <col min="9217" max="9217" width="8.7109375" style="1" customWidth="1"/>
    <col min="9218" max="9218" width="41.5703125" style="1" customWidth="1"/>
    <col min="9219" max="9219" width="13.28515625" style="1" customWidth="1"/>
    <col min="9220" max="9220" width="14.7109375" style="1" customWidth="1"/>
    <col min="9221" max="9221" width="13.42578125" style="1" customWidth="1"/>
    <col min="9222" max="9226" width="14.7109375" style="1" customWidth="1"/>
    <col min="9227" max="9227" width="16.7109375" style="1" customWidth="1"/>
    <col min="9228" max="9228" width="9.85546875" style="1" customWidth="1"/>
    <col min="9229" max="9229" width="7.42578125" style="1" customWidth="1"/>
    <col min="9230" max="9472" width="9.140625" style="1"/>
    <col min="9473" max="9473" width="8.7109375" style="1" customWidth="1"/>
    <col min="9474" max="9474" width="41.5703125" style="1" customWidth="1"/>
    <col min="9475" max="9475" width="13.28515625" style="1" customWidth="1"/>
    <col min="9476" max="9476" width="14.7109375" style="1" customWidth="1"/>
    <col min="9477" max="9477" width="13.42578125" style="1" customWidth="1"/>
    <col min="9478" max="9482" width="14.7109375" style="1" customWidth="1"/>
    <col min="9483" max="9483" width="16.7109375" style="1" customWidth="1"/>
    <col min="9484" max="9484" width="9.85546875" style="1" customWidth="1"/>
    <col min="9485" max="9485" width="7.42578125" style="1" customWidth="1"/>
    <col min="9486" max="9728" width="9.140625" style="1"/>
    <col min="9729" max="9729" width="8.7109375" style="1" customWidth="1"/>
    <col min="9730" max="9730" width="41.5703125" style="1" customWidth="1"/>
    <col min="9731" max="9731" width="13.28515625" style="1" customWidth="1"/>
    <col min="9732" max="9732" width="14.7109375" style="1" customWidth="1"/>
    <col min="9733" max="9733" width="13.42578125" style="1" customWidth="1"/>
    <col min="9734" max="9738" width="14.7109375" style="1" customWidth="1"/>
    <col min="9739" max="9739" width="16.7109375" style="1" customWidth="1"/>
    <col min="9740" max="9740" width="9.85546875" style="1" customWidth="1"/>
    <col min="9741" max="9741" width="7.42578125" style="1" customWidth="1"/>
    <col min="9742" max="9984" width="9.140625" style="1"/>
    <col min="9985" max="9985" width="8.7109375" style="1" customWidth="1"/>
    <col min="9986" max="9986" width="41.5703125" style="1" customWidth="1"/>
    <col min="9987" max="9987" width="13.28515625" style="1" customWidth="1"/>
    <col min="9988" max="9988" width="14.7109375" style="1" customWidth="1"/>
    <col min="9989" max="9989" width="13.42578125" style="1" customWidth="1"/>
    <col min="9990" max="9994" width="14.7109375" style="1" customWidth="1"/>
    <col min="9995" max="9995" width="16.7109375" style="1" customWidth="1"/>
    <col min="9996" max="9996" width="9.85546875" style="1" customWidth="1"/>
    <col min="9997" max="9997" width="7.42578125" style="1" customWidth="1"/>
    <col min="9998" max="10240" width="9.140625" style="1"/>
    <col min="10241" max="10241" width="8.7109375" style="1" customWidth="1"/>
    <col min="10242" max="10242" width="41.5703125" style="1" customWidth="1"/>
    <col min="10243" max="10243" width="13.28515625" style="1" customWidth="1"/>
    <col min="10244" max="10244" width="14.7109375" style="1" customWidth="1"/>
    <col min="10245" max="10245" width="13.42578125" style="1" customWidth="1"/>
    <col min="10246" max="10250" width="14.7109375" style="1" customWidth="1"/>
    <col min="10251" max="10251" width="16.7109375" style="1" customWidth="1"/>
    <col min="10252" max="10252" width="9.85546875" style="1" customWidth="1"/>
    <col min="10253" max="10253" width="7.42578125" style="1" customWidth="1"/>
    <col min="10254" max="10496" width="9.140625" style="1"/>
    <col min="10497" max="10497" width="8.7109375" style="1" customWidth="1"/>
    <col min="10498" max="10498" width="41.5703125" style="1" customWidth="1"/>
    <col min="10499" max="10499" width="13.28515625" style="1" customWidth="1"/>
    <col min="10500" max="10500" width="14.7109375" style="1" customWidth="1"/>
    <col min="10501" max="10501" width="13.42578125" style="1" customWidth="1"/>
    <col min="10502" max="10506" width="14.7109375" style="1" customWidth="1"/>
    <col min="10507" max="10507" width="16.7109375" style="1" customWidth="1"/>
    <col min="10508" max="10508" width="9.85546875" style="1" customWidth="1"/>
    <col min="10509" max="10509" width="7.42578125" style="1" customWidth="1"/>
    <col min="10510" max="10752" width="9.140625" style="1"/>
    <col min="10753" max="10753" width="8.7109375" style="1" customWidth="1"/>
    <col min="10754" max="10754" width="41.5703125" style="1" customWidth="1"/>
    <col min="10755" max="10755" width="13.28515625" style="1" customWidth="1"/>
    <col min="10756" max="10756" width="14.7109375" style="1" customWidth="1"/>
    <col min="10757" max="10757" width="13.42578125" style="1" customWidth="1"/>
    <col min="10758" max="10762" width="14.7109375" style="1" customWidth="1"/>
    <col min="10763" max="10763" width="16.7109375" style="1" customWidth="1"/>
    <col min="10764" max="10764" width="9.85546875" style="1" customWidth="1"/>
    <col min="10765" max="10765" width="7.42578125" style="1" customWidth="1"/>
    <col min="10766" max="11008" width="9.140625" style="1"/>
    <col min="11009" max="11009" width="8.7109375" style="1" customWidth="1"/>
    <col min="11010" max="11010" width="41.5703125" style="1" customWidth="1"/>
    <col min="11011" max="11011" width="13.28515625" style="1" customWidth="1"/>
    <col min="11012" max="11012" width="14.7109375" style="1" customWidth="1"/>
    <col min="11013" max="11013" width="13.42578125" style="1" customWidth="1"/>
    <col min="11014" max="11018" width="14.7109375" style="1" customWidth="1"/>
    <col min="11019" max="11019" width="16.7109375" style="1" customWidth="1"/>
    <col min="11020" max="11020" width="9.85546875" style="1" customWidth="1"/>
    <col min="11021" max="11021" width="7.42578125" style="1" customWidth="1"/>
    <col min="11022" max="11264" width="9.140625" style="1"/>
    <col min="11265" max="11265" width="8.7109375" style="1" customWidth="1"/>
    <col min="11266" max="11266" width="41.5703125" style="1" customWidth="1"/>
    <col min="11267" max="11267" width="13.28515625" style="1" customWidth="1"/>
    <col min="11268" max="11268" width="14.7109375" style="1" customWidth="1"/>
    <col min="11269" max="11269" width="13.42578125" style="1" customWidth="1"/>
    <col min="11270" max="11274" width="14.7109375" style="1" customWidth="1"/>
    <col min="11275" max="11275" width="16.7109375" style="1" customWidth="1"/>
    <col min="11276" max="11276" width="9.85546875" style="1" customWidth="1"/>
    <col min="11277" max="11277" width="7.42578125" style="1" customWidth="1"/>
    <col min="11278" max="11520" width="9.140625" style="1"/>
    <col min="11521" max="11521" width="8.7109375" style="1" customWidth="1"/>
    <col min="11522" max="11522" width="41.5703125" style="1" customWidth="1"/>
    <col min="11523" max="11523" width="13.28515625" style="1" customWidth="1"/>
    <col min="11524" max="11524" width="14.7109375" style="1" customWidth="1"/>
    <col min="11525" max="11525" width="13.42578125" style="1" customWidth="1"/>
    <col min="11526" max="11530" width="14.7109375" style="1" customWidth="1"/>
    <col min="11531" max="11531" width="16.7109375" style="1" customWidth="1"/>
    <col min="11532" max="11532" width="9.85546875" style="1" customWidth="1"/>
    <col min="11533" max="11533" width="7.42578125" style="1" customWidth="1"/>
    <col min="11534" max="11776" width="9.140625" style="1"/>
    <col min="11777" max="11777" width="8.7109375" style="1" customWidth="1"/>
    <col min="11778" max="11778" width="41.5703125" style="1" customWidth="1"/>
    <col min="11779" max="11779" width="13.28515625" style="1" customWidth="1"/>
    <col min="11780" max="11780" width="14.7109375" style="1" customWidth="1"/>
    <col min="11781" max="11781" width="13.42578125" style="1" customWidth="1"/>
    <col min="11782" max="11786" width="14.7109375" style="1" customWidth="1"/>
    <col min="11787" max="11787" width="16.7109375" style="1" customWidth="1"/>
    <col min="11788" max="11788" width="9.85546875" style="1" customWidth="1"/>
    <col min="11789" max="11789" width="7.42578125" style="1" customWidth="1"/>
    <col min="11790" max="12032" width="9.140625" style="1"/>
    <col min="12033" max="12033" width="8.7109375" style="1" customWidth="1"/>
    <col min="12034" max="12034" width="41.5703125" style="1" customWidth="1"/>
    <col min="12035" max="12035" width="13.28515625" style="1" customWidth="1"/>
    <col min="12036" max="12036" width="14.7109375" style="1" customWidth="1"/>
    <col min="12037" max="12037" width="13.42578125" style="1" customWidth="1"/>
    <col min="12038" max="12042" width="14.7109375" style="1" customWidth="1"/>
    <col min="12043" max="12043" width="16.7109375" style="1" customWidth="1"/>
    <col min="12044" max="12044" width="9.85546875" style="1" customWidth="1"/>
    <col min="12045" max="12045" width="7.42578125" style="1" customWidth="1"/>
    <col min="12046" max="12288" width="9.140625" style="1"/>
    <col min="12289" max="12289" width="8.7109375" style="1" customWidth="1"/>
    <col min="12290" max="12290" width="41.5703125" style="1" customWidth="1"/>
    <col min="12291" max="12291" width="13.28515625" style="1" customWidth="1"/>
    <col min="12292" max="12292" width="14.7109375" style="1" customWidth="1"/>
    <col min="12293" max="12293" width="13.42578125" style="1" customWidth="1"/>
    <col min="12294" max="12298" width="14.7109375" style="1" customWidth="1"/>
    <col min="12299" max="12299" width="16.7109375" style="1" customWidth="1"/>
    <col min="12300" max="12300" width="9.85546875" style="1" customWidth="1"/>
    <col min="12301" max="12301" width="7.42578125" style="1" customWidth="1"/>
    <col min="12302" max="12544" width="9.140625" style="1"/>
    <col min="12545" max="12545" width="8.7109375" style="1" customWidth="1"/>
    <col min="12546" max="12546" width="41.5703125" style="1" customWidth="1"/>
    <col min="12547" max="12547" width="13.28515625" style="1" customWidth="1"/>
    <col min="12548" max="12548" width="14.7109375" style="1" customWidth="1"/>
    <col min="12549" max="12549" width="13.42578125" style="1" customWidth="1"/>
    <col min="12550" max="12554" width="14.7109375" style="1" customWidth="1"/>
    <col min="12555" max="12555" width="16.7109375" style="1" customWidth="1"/>
    <col min="12556" max="12556" width="9.85546875" style="1" customWidth="1"/>
    <col min="12557" max="12557" width="7.42578125" style="1" customWidth="1"/>
    <col min="12558" max="12800" width="9.140625" style="1"/>
    <col min="12801" max="12801" width="8.7109375" style="1" customWidth="1"/>
    <col min="12802" max="12802" width="41.5703125" style="1" customWidth="1"/>
    <col min="12803" max="12803" width="13.28515625" style="1" customWidth="1"/>
    <col min="12804" max="12804" width="14.7109375" style="1" customWidth="1"/>
    <col min="12805" max="12805" width="13.42578125" style="1" customWidth="1"/>
    <col min="12806" max="12810" width="14.7109375" style="1" customWidth="1"/>
    <col min="12811" max="12811" width="16.7109375" style="1" customWidth="1"/>
    <col min="12812" max="12812" width="9.85546875" style="1" customWidth="1"/>
    <col min="12813" max="12813" width="7.42578125" style="1" customWidth="1"/>
    <col min="12814" max="13056" width="9.140625" style="1"/>
    <col min="13057" max="13057" width="8.7109375" style="1" customWidth="1"/>
    <col min="13058" max="13058" width="41.5703125" style="1" customWidth="1"/>
    <col min="13059" max="13059" width="13.28515625" style="1" customWidth="1"/>
    <col min="13060" max="13060" width="14.7109375" style="1" customWidth="1"/>
    <col min="13061" max="13061" width="13.42578125" style="1" customWidth="1"/>
    <col min="13062" max="13066" width="14.7109375" style="1" customWidth="1"/>
    <col min="13067" max="13067" width="16.7109375" style="1" customWidth="1"/>
    <col min="13068" max="13068" width="9.85546875" style="1" customWidth="1"/>
    <col min="13069" max="13069" width="7.42578125" style="1" customWidth="1"/>
    <col min="13070" max="13312" width="9.140625" style="1"/>
    <col min="13313" max="13313" width="8.7109375" style="1" customWidth="1"/>
    <col min="13314" max="13314" width="41.5703125" style="1" customWidth="1"/>
    <col min="13315" max="13315" width="13.28515625" style="1" customWidth="1"/>
    <col min="13316" max="13316" width="14.7109375" style="1" customWidth="1"/>
    <col min="13317" max="13317" width="13.42578125" style="1" customWidth="1"/>
    <col min="13318" max="13322" width="14.7109375" style="1" customWidth="1"/>
    <col min="13323" max="13323" width="16.7109375" style="1" customWidth="1"/>
    <col min="13324" max="13324" width="9.85546875" style="1" customWidth="1"/>
    <col min="13325" max="13325" width="7.42578125" style="1" customWidth="1"/>
    <col min="13326" max="13568" width="9.140625" style="1"/>
    <col min="13569" max="13569" width="8.7109375" style="1" customWidth="1"/>
    <col min="13570" max="13570" width="41.5703125" style="1" customWidth="1"/>
    <col min="13571" max="13571" width="13.28515625" style="1" customWidth="1"/>
    <col min="13572" max="13572" width="14.7109375" style="1" customWidth="1"/>
    <col min="13573" max="13573" width="13.42578125" style="1" customWidth="1"/>
    <col min="13574" max="13578" width="14.7109375" style="1" customWidth="1"/>
    <col min="13579" max="13579" width="16.7109375" style="1" customWidth="1"/>
    <col min="13580" max="13580" width="9.85546875" style="1" customWidth="1"/>
    <col min="13581" max="13581" width="7.42578125" style="1" customWidth="1"/>
    <col min="13582" max="13824" width="9.140625" style="1"/>
    <col min="13825" max="13825" width="8.7109375" style="1" customWidth="1"/>
    <col min="13826" max="13826" width="41.5703125" style="1" customWidth="1"/>
    <col min="13827" max="13827" width="13.28515625" style="1" customWidth="1"/>
    <col min="13828" max="13828" width="14.7109375" style="1" customWidth="1"/>
    <col min="13829" max="13829" width="13.42578125" style="1" customWidth="1"/>
    <col min="13830" max="13834" width="14.7109375" style="1" customWidth="1"/>
    <col min="13835" max="13835" width="16.7109375" style="1" customWidth="1"/>
    <col min="13836" max="13836" width="9.85546875" style="1" customWidth="1"/>
    <col min="13837" max="13837" width="7.42578125" style="1" customWidth="1"/>
    <col min="13838" max="14080" width="9.140625" style="1"/>
    <col min="14081" max="14081" width="8.7109375" style="1" customWidth="1"/>
    <col min="14082" max="14082" width="41.5703125" style="1" customWidth="1"/>
    <col min="14083" max="14083" width="13.28515625" style="1" customWidth="1"/>
    <col min="14084" max="14084" width="14.7109375" style="1" customWidth="1"/>
    <col min="14085" max="14085" width="13.42578125" style="1" customWidth="1"/>
    <col min="14086" max="14090" width="14.7109375" style="1" customWidth="1"/>
    <col min="14091" max="14091" width="16.7109375" style="1" customWidth="1"/>
    <col min="14092" max="14092" width="9.85546875" style="1" customWidth="1"/>
    <col min="14093" max="14093" width="7.42578125" style="1" customWidth="1"/>
    <col min="14094" max="14336" width="9.140625" style="1"/>
    <col min="14337" max="14337" width="8.7109375" style="1" customWidth="1"/>
    <col min="14338" max="14338" width="41.5703125" style="1" customWidth="1"/>
    <col min="14339" max="14339" width="13.28515625" style="1" customWidth="1"/>
    <col min="14340" max="14340" width="14.7109375" style="1" customWidth="1"/>
    <col min="14341" max="14341" width="13.42578125" style="1" customWidth="1"/>
    <col min="14342" max="14346" width="14.7109375" style="1" customWidth="1"/>
    <col min="14347" max="14347" width="16.7109375" style="1" customWidth="1"/>
    <col min="14348" max="14348" width="9.85546875" style="1" customWidth="1"/>
    <col min="14349" max="14349" width="7.42578125" style="1" customWidth="1"/>
    <col min="14350" max="14592" width="9.140625" style="1"/>
    <col min="14593" max="14593" width="8.7109375" style="1" customWidth="1"/>
    <col min="14594" max="14594" width="41.5703125" style="1" customWidth="1"/>
    <col min="14595" max="14595" width="13.28515625" style="1" customWidth="1"/>
    <col min="14596" max="14596" width="14.7109375" style="1" customWidth="1"/>
    <col min="14597" max="14597" width="13.42578125" style="1" customWidth="1"/>
    <col min="14598" max="14602" width="14.7109375" style="1" customWidth="1"/>
    <col min="14603" max="14603" width="16.7109375" style="1" customWidth="1"/>
    <col min="14604" max="14604" width="9.85546875" style="1" customWidth="1"/>
    <col min="14605" max="14605" width="7.42578125" style="1" customWidth="1"/>
    <col min="14606" max="14848" width="9.140625" style="1"/>
    <col min="14849" max="14849" width="8.7109375" style="1" customWidth="1"/>
    <col min="14850" max="14850" width="41.5703125" style="1" customWidth="1"/>
    <col min="14851" max="14851" width="13.28515625" style="1" customWidth="1"/>
    <col min="14852" max="14852" width="14.7109375" style="1" customWidth="1"/>
    <col min="14853" max="14853" width="13.42578125" style="1" customWidth="1"/>
    <col min="14854" max="14858" width="14.7109375" style="1" customWidth="1"/>
    <col min="14859" max="14859" width="16.7109375" style="1" customWidth="1"/>
    <col min="14860" max="14860" width="9.85546875" style="1" customWidth="1"/>
    <col min="14861" max="14861" width="7.42578125" style="1" customWidth="1"/>
    <col min="14862" max="15104" width="9.140625" style="1"/>
    <col min="15105" max="15105" width="8.7109375" style="1" customWidth="1"/>
    <col min="15106" max="15106" width="41.5703125" style="1" customWidth="1"/>
    <col min="15107" max="15107" width="13.28515625" style="1" customWidth="1"/>
    <col min="15108" max="15108" width="14.7109375" style="1" customWidth="1"/>
    <col min="15109" max="15109" width="13.42578125" style="1" customWidth="1"/>
    <col min="15110" max="15114" width="14.7109375" style="1" customWidth="1"/>
    <col min="15115" max="15115" width="16.7109375" style="1" customWidth="1"/>
    <col min="15116" max="15116" width="9.85546875" style="1" customWidth="1"/>
    <col min="15117" max="15117" width="7.42578125" style="1" customWidth="1"/>
    <col min="15118" max="15360" width="9.140625" style="1"/>
    <col min="15361" max="15361" width="8.7109375" style="1" customWidth="1"/>
    <col min="15362" max="15362" width="41.5703125" style="1" customWidth="1"/>
    <col min="15363" max="15363" width="13.28515625" style="1" customWidth="1"/>
    <col min="15364" max="15364" width="14.7109375" style="1" customWidth="1"/>
    <col min="15365" max="15365" width="13.42578125" style="1" customWidth="1"/>
    <col min="15366" max="15370" width="14.7109375" style="1" customWidth="1"/>
    <col min="15371" max="15371" width="16.7109375" style="1" customWidth="1"/>
    <col min="15372" max="15372" width="9.85546875" style="1" customWidth="1"/>
    <col min="15373" max="15373" width="7.42578125" style="1" customWidth="1"/>
    <col min="15374" max="15616" width="9.140625" style="1"/>
    <col min="15617" max="15617" width="8.7109375" style="1" customWidth="1"/>
    <col min="15618" max="15618" width="41.5703125" style="1" customWidth="1"/>
    <col min="15619" max="15619" width="13.28515625" style="1" customWidth="1"/>
    <col min="15620" max="15620" width="14.7109375" style="1" customWidth="1"/>
    <col min="15621" max="15621" width="13.42578125" style="1" customWidth="1"/>
    <col min="15622" max="15626" width="14.7109375" style="1" customWidth="1"/>
    <col min="15627" max="15627" width="16.7109375" style="1" customWidth="1"/>
    <col min="15628" max="15628" width="9.85546875" style="1" customWidth="1"/>
    <col min="15629" max="15629" width="7.42578125" style="1" customWidth="1"/>
    <col min="15630" max="15872" width="9.140625" style="1"/>
    <col min="15873" max="15873" width="8.7109375" style="1" customWidth="1"/>
    <col min="15874" max="15874" width="41.5703125" style="1" customWidth="1"/>
    <col min="15875" max="15875" width="13.28515625" style="1" customWidth="1"/>
    <col min="15876" max="15876" width="14.7109375" style="1" customWidth="1"/>
    <col min="15877" max="15877" width="13.42578125" style="1" customWidth="1"/>
    <col min="15878" max="15882" width="14.7109375" style="1" customWidth="1"/>
    <col min="15883" max="15883" width="16.7109375" style="1" customWidth="1"/>
    <col min="15884" max="15884" width="9.85546875" style="1" customWidth="1"/>
    <col min="15885" max="15885" width="7.42578125" style="1" customWidth="1"/>
    <col min="15886" max="16128" width="9.140625" style="1"/>
    <col min="16129" max="16129" width="8.7109375" style="1" customWidth="1"/>
    <col min="16130" max="16130" width="41.5703125" style="1" customWidth="1"/>
    <col min="16131" max="16131" width="13.28515625" style="1" customWidth="1"/>
    <col min="16132" max="16132" width="14.7109375" style="1" customWidth="1"/>
    <col min="16133" max="16133" width="13.42578125" style="1" customWidth="1"/>
    <col min="16134" max="16138" width="14.7109375" style="1" customWidth="1"/>
    <col min="16139" max="16139" width="16.7109375" style="1" customWidth="1"/>
    <col min="16140" max="16140" width="9.85546875" style="1" customWidth="1"/>
    <col min="16141" max="16141" width="7.42578125" style="1" customWidth="1"/>
    <col min="16142" max="16384" width="9.140625" style="1"/>
  </cols>
  <sheetData>
    <row r="1" spans="1:22" ht="15" customHeight="1" x14ac:dyDescent="0.2"/>
    <row r="2" spans="1:22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70"/>
    </row>
    <row r="3" spans="1:22" ht="15" customHeight="1" x14ac:dyDescent="0.2"/>
    <row r="4" spans="1:22" ht="20.100000000000001" customHeight="1" x14ac:dyDescent="0.3">
      <c r="A4" s="7" t="s">
        <v>299</v>
      </c>
      <c r="L4" s="8"/>
    </row>
    <row r="5" spans="1:22" ht="15" customHeight="1" thickBot="1" x14ac:dyDescent="0.35">
      <c r="A5" s="7"/>
      <c r="M5" s="8" t="s">
        <v>0</v>
      </c>
    </row>
    <row r="6" spans="1:22" s="142" customFormat="1" ht="15.95" customHeight="1" x14ac:dyDescent="0.15">
      <c r="A6" s="1471" t="s">
        <v>104</v>
      </c>
      <c r="B6" s="1465" t="s">
        <v>156</v>
      </c>
      <c r="C6" s="1473" t="s">
        <v>164</v>
      </c>
      <c r="D6" s="1474"/>
      <c r="E6" s="1473" t="s">
        <v>132</v>
      </c>
      <c r="F6" s="1475"/>
      <c r="G6" s="1474"/>
      <c r="H6" s="1476" t="s">
        <v>165</v>
      </c>
      <c r="I6" s="1477"/>
      <c r="J6" s="1477"/>
      <c r="K6" s="1478"/>
      <c r="L6" s="1479" t="s">
        <v>151</v>
      </c>
      <c r="M6" s="1481" t="s">
        <v>157</v>
      </c>
    </row>
    <row r="7" spans="1:22" s="142" customFormat="1" ht="27" customHeight="1" thickBot="1" x14ac:dyDescent="0.2">
      <c r="A7" s="1472"/>
      <c r="B7" s="1467"/>
      <c r="C7" s="935" t="s">
        <v>163</v>
      </c>
      <c r="D7" s="936" t="s">
        <v>197</v>
      </c>
      <c r="E7" s="1216" t="s">
        <v>169</v>
      </c>
      <c r="F7" s="1217" t="s">
        <v>470</v>
      </c>
      <c r="G7" s="1218" t="s">
        <v>471</v>
      </c>
      <c r="H7" s="1171" t="s">
        <v>194</v>
      </c>
      <c r="I7" s="1170" t="s">
        <v>195</v>
      </c>
      <c r="J7" s="1172" t="s">
        <v>196</v>
      </c>
      <c r="K7" s="441" t="s">
        <v>99</v>
      </c>
      <c r="L7" s="1480"/>
      <c r="M7" s="1482"/>
    </row>
    <row r="8" spans="1:22" s="18" customFormat="1" ht="20.100000000000001" customHeight="1" thickBot="1" x14ac:dyDescent="0.3">
      <c r="A8" s="9"/>
      <c r="B8" s="10" t="s">
        <v>158</v>
      </c>
      <c r="C8" s="11"/>
      <c r="D8" s="12"/>
      <c r="E8" s="11"/>
      <c r="F8" s="13"/>
      <c r="G8" s="13"/>
      <c r="H8" s="14"/>
      <c r="I8" s="14"/>
      <c r="J8" s="14"/>
      <c r="K8" s="15"/>
      <c r="L8" s="16"/>
      <c r="M8" s="17"/>
    </row>
    <row r="9" spans="1:22" s="20" customFormat="1" ht="15" customHeight="1" x14ac:dyDescent="0.2">
      <c r="A9" s="506">
        <v>2212</v>
      </c>
      <c r="B9" s="528" t="s">
        <v>175</v>
      </c>
      <c r="C9" s="392">
        <v>100</v>
      </c>
      <c r="D9" s="393">
        <v>0</v>
      </c>
      <c r="E9" s="508">
        <v>100</v>
      </c>
      <c r="F9" s="364">
        <v>854.74</v>
      </c>
      <c r="G9" s="509">
        <v>3.5</v>
      </c>
      <c r="H9" s="395">
        <v>0</v>
      </c>
      <c r="I9" s="396">
        <v>10</v>
      </c>
      <c r="J9" s="510">
        <v>0</v>
      </c>
      <c r="K9" s="366">
        <f t="shared" ref="K9:K20" si="0">SUM(H9:J9)</f>
        <v>10</v>
      </c>
      <c r="L9" s="398">
        <f t="shared" ref="L9:L33" si="1">K9/E9*100</f>
        <v>10</v>
      </c>
      <c r="M9" s="520">
        <f t="shared" ref="M9:M33" si="2">K9/F9*100</f>
        <v>1.1699464164541264</v>
      </c>
      <c r="N9" s="147"/>
      <c r="O9" s="147"/>
      <c r="P9" s="147"/>
      <c r="Q9" s="147"/>
      <c r="R9" s="147"/>
      <c r="S9" s="147"/>
      <c r="T9" s="147"/>
      <c r="U9" s="147"/>
      <c r="V9" s="147"/>
    </row>
    <row r="10" spans="1:22" s="143" customFormat="1" ht="15" customHeight="1" x14ac:dyDescent="0.2">
      <c r="A10" s="416">
        <v>2219</v>
      </c>
      <c r="B10" s="529" t="s">
        <v>176</v>
      </c>
      <c r="C10" s="443">
        <v>50</v>
      </c>
      <c r="D10" s="485">
        <v>0</v>
      </c>
      <c r="E10" s="494">
        <v>50</v>
      </c>
      <c r="F10" s="370">
        <v>49.73</v>
      </c>
      <c r="G10" s="512">
        <v>0</v>
      </c>
      <c r="H10" s="496">
        <v>0</v>
      </c>
      <c r="I10" s="484">
        <v>5</v>
      </c>
      <c r="J10" s="513">
        <v>0</v>
      </c>
      <c r="K10" s="373">
        <f t="shared" si="0"/>
        <v>5</v>
      </c>
      <c r="L10" s="408">
        <f t="shared" si="1"/>
        <v>10</v>
      </c>
      <c r="M10" s="385">
        <f t="shared" si="2"/>
        <v>10.054293183189223</v>
      </c>
    </row>
    <row r="11" spans="1:22" s="143" customFormat="1" ht="15" customHeight="1" x14ac:dyDescent="0.2">
      <c r="A11" s="416">
        <v>2223</v>
      </c>
      <c r="B11" s="529" t="s">
        <v>300</v>
      </c>
      <c r="C11" s="443">
        <v>50</v>
      </c>
      <c r="D11" s="485">
        <v>0</v>
      </c>
      <c r="E11" s="494">
        <v>50</v>
      </c>
      <c r="F11" s="370">
        <v>50</v>
      </c>
      <c r="G11" s="512">
        <v>0</v>
      </c>
      <c r="H11" s="496">
        <v>0</v>
      </c>
      <c r="I11" s="484">
        <v>0</v>
      </c>
      <c r="J11" s="513">
        <v>0</v>
      </c>
      <c r="K11" s="373">
        <f t="shared" si="0"/>
        <v>0</v>
      </c>
      <c r="L11" s="408">
        <f t="shared" si="1"/>
        <v>0</v>
      </c>
      <c r="M11" s="385">
        <f t="shared" si="2"/>
        <v>0</v>
      </c>
    </row>
    <row r="12" spans="1:22" s="143" customFormat="1" ht="15" customHeight="1" x14ac:dyDescent="0.2">
      <c r="A12" s="416">
        <v>2292</v>
      </c>
      <c r="B12" s="529" t="s">
        <v>301</v>
      </c>
      <c r="C12" s="443">
        <v>0</v>
      </c>
      <c r="D12" s="485">
        <v>0</v>
      </c>
      <c r="E12" s="494">
        <v>0</v>
      </c>
      <c r="F12" s="370">
        <v>96.52</v>
      </c>
      <c r="G12" s="512">
        <v>78.510000000000005</v>
      </c>
      <c r="H12" s="496">
        <v>0</v>
      </c>
      <c r="I12" s="484">
        <v>5</v>
      </c>
      <c r="J12" s="513">
        <v>0</v>
      </c>
      <c r="K12" s="373">
        <f t="shared" si="0"/>
        <v>5</v>
      </c>
      <c r="L12" s="408" t="s">
        <v>71</v>
      </c>
      <c r="M12" s="385">
        <f t="shared" ref="M12:M32" si="3">K12/F12*100</f>
        <v>5.1802735184417736</v>
      </c>
    </row>
    <row r="13" spans="1:22" s="143" customFormat="1" ht="15" customHeight="1" x14ac:dyDescent="0.2">
      <c r="A13" s="416">
        <v>2299</v>
      </c>
      <c r="B13" s="529" t="s">
        <v>178</v>
      </c>
      <c r="C13" s="443">
        <v>0</v>
      </c>
      <c r="D13" s="485">
        <v>0</v>
      </c>
      <c r="E13" s="494">
        <v>0</v>
      </c>
      <c r="F13" s="370">
        <v>89.31</v>
      </c>
      <c r="G13" s="512">
        <v>59.31</v>
      </c>
      <c r="H13" s="496">
        <v>0</v>
      </c>
      <c r="I13" s="484">
        <v>5</v>
      </c>
      <c r="J13" s="513">
        <v>0</v>
      </c>
      <c r="K13" s="373">
        <f t="shared" si="0"/>
        <v>5</v>
      </c>
      <c r="L13" s="408" t="s">
        <v>71</v>
      </c>
      <c r="M13" s="385">
        <f t="shared" si="3"/>
        <v>5.5984772141977386</v>
      </c>
    </row>
    <row r="14" spans="1:22" s="143" customFormat="1" ht="15" customHeight="1" x14ac:dyDescent="0.2">
      <c r="A14" s="416">
        <v>2310</v>
      </c>
      <c r="B14" s="529" t="s">
        <v>179</v>
      </c>
      <c r="C14" s="443">
        <v>0</v>
      </c>
      <c r="D14" s="485">
        <v>0</v>
      </c>
      <c r="E14" s="494">
        <v>0</v>
      </c>
      <c r="F14" s="370">
        <v>1.2</v>
      </c>
      <c r="G14" s="512">
        <v>0.27</v>
      </c>
      <c r="H14" s="496">
        <v>0</v>
      </c>
      <c r="I14" s="484">
        <v>0</v>
      </c>
      <c r="J14" s="513">
        <v>0</v>
      </c>
      <c r="K14" s="373">
        <f t="shared" si="0"/>
        <v>0</v>
      </c>
      <c r="L14" s="408" t="s">
        <v>71</v>
      </c>
      <c r="M14" s="385">
        <f t="shared" si="3"/>
        <v>0</v>
      </c>
    </row>
    <row r="15" spans="1:22" s="143" customFormat="1" ht="15" customHeight="1" x14ac:dyDescent="0.2">
      <c r="A15" s="416">
        <v>3121</v>
      </c>
      <c r="B15" s="529" t="s">
        <v>180</v>
      </c>
      <c r="C15" s="443">
        <v>50</v>
      </c>
      <c r="D15" s="485">
        <v>0</v>
      </c>
      <c r="E15" s="494">
        <v>50</v>
      </c>
      <c r="F15" s="370">
        <v>48.12</v>
      </c>
      <c r="G15" s="512">
        <v>0</v>
      </c>
      <c r="H15" s="496">
        <v>0</v>
      </c>
      <c r="I15" s="484">
        <v>10</v>
      </c>
      <c r="J15" s="513">
        <v>0</v>
      </c>
      <c r="K15" s="373">
        <f t="shared" si="0"/>
        <v>10</v>
      </c>
      <c r="L15" s="408">
        <f t="shared" ref="L15:L31" si="4">K15/E15*100</f>
        <v>20</v>
      </c>
      <c r="M15" s="385">
        <f t="shared" si="3"/>
        <v>20.781379883624275</v>
      </c>
    </row>
    <row r="16" spans="1:22" s="143" customFormat="1" ht="15" customHeight="1" x14ac:dyDescent="0.2">
      <c r="A16" s="416">
        <v>3122</v>
      </c>
      <c r="B16" s="529" t="s">
        <v>181</v>
      </c>
      <c r="C16" s="443">
        <v>50</v>
      </c>
      <c r="D16" s="485">
        <v>0</v>
      </c>
      <c r="E16" s="494">
        <v>50</v>
      </c>
      <c r="F16" s="370">
        <v>247.04</v>
      </c>
      <c r="G16" s="512">
        <v>0.54</v>
      </c>
      <c r="H16" s="496">
        <v>0</v>
      </c>
      <c r="I16" s="484">
        <v>10</v>
      </c>
      <c r="J16" s="513">
        <v>0</v>
      </c>
      <c r="K16" s="373">
        <f t="shared" si="0"/>
        <v>10</v>
      </c>
      <c r="L16" s="408">
        <f t="shared" si="4"/>
        <v>20</v>
      </c>
      <c r="M16" s="385">
        <f t="shared" si="3"/>
        <v>4.0479274611398965</v>
      </c>
    </row>
    <row r="17" spans="1:14" s="20" customFormat="1" ht="30" x14ac:dyDescent="0.2">
      <c r="A17" s="416">
        <v>3123</v>
      </c>
      <c r="B17" s="529" t="s">
        <v>201</v>
      </c>
      <c r="C17" s="443">
        <v>50</v>
      </c>
      <c r="D17" s="485">
        <v>0</v>
      </c>
      <c r="E17" s="494">
        <v>50</v>
      </c>
      <c r="F17" s="370">
        <v>319.17</v>
      </c>
      <c r="G17" s="512">
        <v>21.59</v>
      </c>
      <c r="H17" s="496">
        <v>0</v>
      </c>
      <c r="I17" s="484">
        <v>10</v>
      </c>
      <c r="J17" s="513">
        <v>0</v>
      </c>
      <c r="K17" s="373">
        <f t="shared" si="0"/>
        <v>10</v>
      </c>
      <c r="L17" s="408">
        <f t="shared" si="4"/>
        <v>20</v>
      </c>
      <c r="M17" s="385">
        <f t="shared" si="3"/>
        <v>3.1331265469812326</v>
      </c>
    </row>
    <row r="18" spans="1:14" s="20" customFormat="1" ht="15" customHeight="1" x14ac:dyDescent="0.2">
      <c r="A18" s="416">
        <v>3133</v>
      </c>
      <c r="B18" s="529" t="s">
        <v>182</v>
      </c>
      <c r="C18" s="443">
        <v>0</v>
      </c>
      <c r="D18" s="485">
        <v>0</v>
      </c>
      <c r="E18" s="494">
        <v>0</v>
      </c>
      <c r="F18" s="370">
        <v>130</v>
      </c>
      <c r="G18" s="512">
        <v>0</v>
      </c>
      <c r="H18" s="496">
        <v>0</v>
      </c>
      <c r="I18" s="484">
        <v>5</v>
      </c>
      <c r="J18" s="513">
        <v>0</v>
      </c>
      <c r="K18" s="373">
        <f t="shared" si="0"/>
        <v>5</v>
      </c>
      <c r="L18" s="408" t="s">
        <v>71</v>
      </c>
      <c r="M18" s="385" t="s">
        <v>159</v>
      </c>
    </row>
    <row r="19" spans="1:14" s="20" customFormat="1" ht="15" customHeight="1" x14ac:dyDescent="0.2">
      <c r="A19" s="416">
        <v>3269</v>
      </c>
      <c r="B19" s="529" t="s">
        <v>204</v>
      </c>
      <c r="C19" s="443">
        <v>0</v>
      </c>
      <c r="D19" s="485">
        <v>0</v>
      </c>
      <c r="E19" s="494">
        <v>0</v>
      </c>
      <c r="F19" s="370">
        <v>7.07</v>
      </c>
      <c r="G19" s="512">
        <v>5.76</v>
      </c>
      <c r="H19" s="496">
        <v>0</v>
      </c>
      <c r="I19" s="484">
        <v>0</v>
      </c>
      <c r="J19" s="513">
        <v>0</v>
      </c>
      <c r="K19" s="373">
        <f t="shared" si="0"/>
        <v>0</v>
      </c>
      <c r="L19" s="408" t="s">
        <v>71</v>
      </c>
      <c r="M19" s="385">
        <f t="shared" si="3"/>
        <v>0</v>
      </c>
    </row>
    <row r="20" spans="1:14" s="20" customFormat="1" ht="15" customHeight="1" x14ac:dyDescent="0.2">
      <c r="A20" s="416">
        <v>3314</v>
      </c>
      <c r="B20" s="529" t="s">
        <v>184</v>
      </c>
      <c r="C20" s="443">
        <v>0</v>
      </c>
      <c r="D20" s="485">
        <v>0</v>
      </c>
      <c r="E20" s="494">
        <v>0</v>
      </c>
      <c r="F20" s="370">
        <v>11.88</v>
      </c>
      <c r="G20" s="512">
        <v>0</v>
      </c>
      <c r="H20" s="496">
        <v>0</v>
      </c>
      <c r="I20" s="484">
        <v>5</v>
      </c>
      <c r="J20" s="513">
        <v>0</v>
      </c>
      <c r="K20" s="373">
        <f t="shared" si="0"/>
        <v>5</v>
      </c>
      <c r="L20" s="408" t="s">
        <v>71</v>
      </c>
      <c r="M20" s="385" t="s">
        <v>159</v>
      </c>
    </row>
    <row r="21" spans="1:14" s="20" customFormat="1" ht="15" customHeight="1" x14ac:dyDescent="0.2">
      <c r="A21" s="416">
        <v>3315</v>
      </c>
      <c r="B21" s="529" t="s">
        <v>303</v>
      </c>
      <c r="C21" s="443">
        <v>50</v>
      </c>
      <c r="D21" s="485">
        <v>0</v>
      </c>
      <c r="E21" s="494">
        <v>50</v>
      </c>
      <c r="F21" s="370">
        <v>49.73</v>
      </c>
      <c r="G21" s="512">
        <v>0.27</v>
      </c>
      <c r="H21" s="496">
        <v>0</v>
      </c>
      <c r="I21" s="484">
        <v>5</v>
      </c>
      <c r="J21" s="513">
        <v>0</v>
      </c>
      <c r="K21" s="373">
        <f>SUM(H21:J21)</f>
        <v>5</v>
      </c>
      <c r="L21" s="408">
        <f t="shared" si="4"/>
        <v>10</v>
      </c>
      <c r="M21" s="385">
        <f t="shared" si="3"/>
        <v>10.054293183189223</v>
      </c>
      <c r="N21" s="19"/>
    </row>
    <row r="22" spans="1:14" s="20" customFormat="1" ht="30" x14ac:dyDescent="0.2">
      <c r="A22" s="416">
        <v>3326</v>
      </c>
      <c r="B22" s="529" t="s">
        <v>304</v>
      </c>
      <c r="C22" s="443">
        <v>50</v>
      </c>
      <c r="D22" s="485">
        <v>0</v>
      </c>
      <c r="E22" s="494">
        <v>50</v>
      </c>
      <c r="F22" s="370">
        <v>49.73</v>
      </c>
      <c r="G22" s="512">
        <v>0</v>
      </c>
      <c r="H22" s="496">
        <v>0</v>
      </c>
      <c r="I22" s="484">
        <v>0</v>
      </c>
      <c r="J22" s="513">
        <v>0</v>
      </c>
      <c r="K22" s="373">
        <f>SUM(H22:J22)</f>
        <v>0</v>
      </c>
      <c r="L22" s="408">
        <f t="shared" si="4"/>
        <v>0</v>
      </c>
      <c r="M22" s="385">
        <f t="shared" si="3"/>
        <v>0</v>
      </c>
      <c r="N22" s="19"/>
    </row>
    <row r="23" spans="1:14" s="20" customFormat="1" ht="15" customHeight="1" x14ac:dyDescent="0.2">
      <c r="A23" s="416">
        <v>3429</v>
      </c>
      <c r="B23" s="529" t="s">
        <v>305</v>
      </c>
      <c r="C23" s="443">
        <v>50</v>
      </c>
      <c r="D23" s="485">
        <v>0</v>
      </c>
      <c r="E23" s="494">
        <v>50</v>
      </c>
      <c r="F23" s="370">
        <v>50</v>
      </c>
      <c r="G23" s="512">
        <v>0</v>
      </c>
      <c r="H23" s="496">
        <v>0</v>
      </c>
      <c r="I23" s="484">
        <v>0</v>
      </c>
      <c r="J23" s="513">
        <v>0</v>
      </c>
      <c r="K23" s="373">
        <f>SUM(H23:J23)</f>
        <v>0</v>
      </c>
      <c r="L23" s="408">
        <f t="shared" si="4"/>
        <v>0</v>
      </c>
      <c r="M23" s="385">
        <f t="shared" si="3"/>
        <v>0</v>
      </c>
      <c r="N23" s="19"/>
    </row>
    <row r="24" spans="1:14" s="20" customFormat="1" ht="15" customHeight="1" x14ac:dyDescent="0.2">
      <c r="A24" s="386">
        <v>3529</v>
      </c>
      <c r="B24" s="530" t="s">
        <v>306</v>
      </c>
      <c r="C24" s="402">
        <v>0</v>
      </c>
      <c r="D24" s="403">
        <v>0</v>
      </c>
      <c r="E24" s="522">
        <v>0</v>
      </c>
      <c r="F24" s="382">
        <v>0</v>
      </c>
      <c r="G24" s="527">
        <v>0</v>
      </c>
      <c r="H24" s="405">
        <v>0</v>
      </c>
      <c r="I24" s="406">
        <v>5</v>
      </c>
      <c r="J24" s="525">
        <v>0</v>
      </c>
      <c r="K24" s="373">
        <f>SUM(H24:J24)</f>
        <v>5</v>
      </c>
      <c r="L24" s="408" t="s">
        <v>71</v>
      </c>
      <c r="M24" s="385" t="s">
        <v>159</v>
      </c>
      <c r="N24" s="19"/>
    </row>
    <row r="25" spans="1:14" s="20" customFormat="1" ht="15" customHeight="1" x14ac:dyDescent="0.2">
      <c r="A25" s="386">
        <v>3533</v>
      </c>
      <c r="B25" s="530" t="s">
        <v>186</v>
      </c>
      <c r="C25" s="402">
        <v>50</v>
      </c>
      <c r="D25" s="403">
        <v>0</v>
      </c>
      <c r="E25" s="522">
        <v>50</v>
      </c>
      <c r="F25" s="382">
        <v>84.39</v>
      </c>
      <c r="G25" s="527">
        <v>29.66</v>
      </c>
      <c r="H25" s="405">
        <v>0</v>
      </c>
      <c r="I25" s="406">
        <v>5</v>
      </c>
      <c r="J25" s="525">
        <v>0</v>
      </c>
      <c r="K25" s="373">
        <f t="shared" ref="K25:K32" si="5">SUM(H25:J25)</f>
        <v>5</v>
      </c>
      <c r="L25" s="408">
        <f t="shared" si="4"/>
        <v>10</v>
      </c>
      <c r="M25" s="385">
        <f t="shared" si="3"/>
        <v>5.9248726152387725</v>
      </c>
      <c r="N25" s="19"/>
    </row>
    <row r="26" spans="1:14" s="20" customFormat="1" ht="15" customHeight="1" x14ac:dyDescent="0.2">
      <c r="A26" s="386">
        <v>3599</v>
      </c>
      <c r="B26" s="530" t="s">
        <v>307</v>
      </c>
      <c r="C26" s="402">
        <v>0</v>
      </c>
      <c r="D26" s="403">
        <v>0</v>
      </c>
      <c r="E26" s="522">
        <v>0</v>
      </c>
      <c r="F26" s="382">
        <v>2</v>
      </c>
      <c r="G26" s="527">
        <v>0.27</v>
      </c>
      <c r="H26" s="405">
        <v>0</v>
      </c>
      <c r="I26" s="406">
        <v>0</v>
      </c>
      <c r="J26" s="525">
        <v>0</v>
      </c>
      <c r="K26" s="373">
        <f t="shared" si="5"/>
        <v>0</v>
      </c>
      <c r="L26" s="408" t="s">
        <v>71</v>
      </c>
      <c r="M26" s="385">
        <f t="shared" si="3"/>
        <v>0</v>
      </c>
      <c r="N26" s="19"/>
    </row>
    <row r="27" spans="1:14" s="20" customFormat="1" ht="15" customHeight="1" x14ac:dyDescent="0.2">
      <c r="A27" s="386">
        <v>3742</v>
      </c>
      <c r="B27" s="530" t="s">
        <v>190</v>
      </c>
      <c r="C27" s="402">
        <v>50</v>
      </c>
      <c r="D27" s="403">
        <v>0</v>
      </c>
      <c r="E27" s="522">
        <v>50</v>
      </c>
      <c r="F27" s="382">
        <v>50</v>
      </c>
      <c r="G27" s="527">
        <v>0.27</v>
      </c>
      <c r="H27" s="405">
        <v>0</v>
      </c>
      <c r="I27" s="406">
        <v>0</v>
      </c>
      <c r="J27" s="525">
        <v>0</v>
      </c>
      <c r="K27" s="373">
        <f t="shared" si="5"/>
        <v>0</v>
      </c>
      <c r="L27" s="408">
        <f t="shared" si="4"/>
        <v>0</v>
      </c>
      <c r="M27" s="385">
        <f t="shared" si="3"/>
        <v>0</v>
      </c>
      <c r="N27" s="19"/>
    </row>
    <row r="28" spans="1:14" s="20" customFormat="1" ht="15" customHeight="1" x14ac:dyDescent="0.2">
      <c r="A28" s="386">
        <v>4350</v>
      </c>
      <c r="B28" s="530" t="s">
        <v>191</v>
      </c>
      <c r="C28" s="402">
        <v>50</v>
      </c>
      <c r="D28" s="403">
        <v>0</v>
      </c>
      <c r="E28" s="522">
        <v>50</v>
      </c>
      <c r="F28" s="382">
        <v>229.56</v>
      </c>
      <c r="G28" s="527">
        <v>51.18</v>
      </c>
      <c r="H28" s="405">
        <v>0</v>
      </c>
      <c r="I28" s="406">
        <v>10</v>
      </c>
      <c r="J28" s="525">
        <v>0</v>
      </c>
      <c r="K28" s="373">
        <f t="shared" si="5"/>
        <v>10</v>
      </c>
      <c r="L28" s="408">
        <f t="shared" si="4"/>
        <v>20</v>
      </c>
      <c r="M28" s="385">
        <f t="shared" si="3"/>
        <v>4.356159609688099</v>
      </c>
      <c r="N28" s="19"/>
    </row>
    <row r="29" spans="1:14" s="20" customFormat="1" ht="30" x14ac:dyDescent="0.2">
      <c r="A29" s="386">
        <v>4357</v>
      </c>
      <c r="B29" s="530" t="s">
        <v>308</v>
      </c>
      <c r="C29" s="402">
        <v>50</v>
      </c>
      <c r="D29" s="403">
        <v>0</v>
      </c>
      <c r="E29" s="522">
        <v>50</v>
      </c>
      <c r="F29" s="382">
        <v>50</v>
      </c>
      <c r="G29" s="527">
        <v>0</v>
      </c>
      <c r="H29" s="405">
        <v>0</v>
      </c>
      <c r="I29" s="406">
        <v>0</v>
      </c>
      <c r="J29" s="525">
        <v>0</v>
      </c>
      <c r="K29" s="373">
        <f t="shared" si="5"/>
        <v>0</v>
      </c>
      <c r="L29" s="408">
        <f t="shared" si="4"/>
        <v>0</v>
      </c>
      <c r="M29" s="385">
        <f t="shared" si="3"/>
        <v>0</v>
      </c>
      <c r="N29" s="19"/>
    </row>
    <row r="30" spans="1:14" s="20" customFormat="1" ht="30" x14ac:dyDescent="0.2">
      <c r="A30" s="386">
        <v>4399</v>
      </c>
      <c r="B30" s="530" t="s">
        <v>273</v>
      </c>
      <c r="C30" s="402">
        <v>50</v>
      </c>
      <c r="D30" s="403">
        <v>0</v>
      </c>
      <c r="E30" s="522">
        <v>50</v>
      </c>
      <c r="F30" s="382">
        <v>50</v>
      </c>
      <c r="G30" s="527">
        <v>0</v>
      </c>
      <c r="H30" s="405">
        <v>0</v>
      </c>
      <c r="I30" s="406">
        <v>0</v>
      </c>
      <c r="J30" s="525">
        <v>0</v>
      </c>
      <c r="K30" s="373">
        <f t="shared" si="5"/>
        <v>0</v>
      </c>
      <c r="L30" s="408">
        <f t="shared" si="4"/>
        <v>0</v>
      </c>
      <c r="M30" s="385">
        <f t="shared" si="3"/>
        <v>0</v>
      </c>
      <c r="N30" s="19"/>
    </row>
    <row r="31" spans="1:14" s="20" customFormat="1" ht="15" customHeight="1" x14ac:dyDescent="0.2">
      <c r="A31" s="928">
        <v>6172</v>
      </c>
      <c r="B31" s="530" t="s">
        <v>160</v>
      </c>
      <c r="C31" s="402">
        <v>4250</v>
      </c>
      <c r="D31" s="403">
        <v>1332.5060000000001</v>
      </c>
      <c r="E31" s="522">
        <v>4250</v>
      </c>
      <c r="F31" s="382">
        <v>3785.64</v>
      </c>
      <c r="G31" s="527">
        <v>1953.21</v>
      </c>
      <c r="H31" s="405">
        <v>3200</v>
      </c>
      <c r="I31" s="406">
        <v>3000</v>
      </c>
      <c r="J31" s="525">
        <v>710</v>
      </c>
      <c r="K31" s="373">
        <f t="shared" si="5"/>
        <v>6910</v>
      </c>
      <c r="L31" s="408">
        <f t="shared" si="4"/>
        <v>162.58823529411765</v>
      </c>
      <c r="M31" s="385">
        <f t="shared" si="3"/>
        <v>182.53188364450926</v>
      </c>
      <c r="N31" s="19"/>
    </row>
    <row r="32" spans="1:14" s="20" customFormat="1" ht="15.75" thickBot="1" x14ac:dyDescent="0.25">
      <c r="A32" s="1197">
        <v>6223</v>
      </c>
      <c r="B32" s="530" t="s">
        <v>252</v>
      </c>
      <c r="C32" s="402">
        <v>0</v>
      </c>
      <c r="D32" s="403">
        <v>0</v>
      </c>
      <c r="E32" s="522">
        <v>0</v>
      </c>
      <c r="F32" s="382">
        <v>41.23</v>
      </c>
      <c r="G32" s="527">
        <v>41.23</v>
      </c>
      <c r="H32" s="405">
        <v>0</v>
      </c>
      <c r="I32" s="406">
        <v>0</v>
      </c>
      <c r="J32" s="525">
        <v>0</v>
      </c>
      <c r="K32" s="373">
        <f t="shared" si="5"/>
        <v>0</v>
      </c>
      <c r="L32" s="408" t="s">
        <v>71</v>
      </c>
      <c r="M32" s="385">
        <f t="shared" si="3"/>
        <v>0</v>
      </c>
      <c r="N32" s="19"/>
    </row>
    <row r="33" spans="1:14" s="22" customFormat="1" ht="20.100000000000001" customHeight="1" thickBot="1" x14ac:dyDescent="0.3">
      <c r="A33" s="963"/>
      <c r="B33" s="1005" t="s">
        <v>99</v>
      </c>
      <c r="C33" s="956">
        <f t="shared" ref="C33:K33" si="6">SUM(C9:C32)</f>
        <v>5000</v>
      </c>
      <c r="D33" s="997">
        <f t="shared" si="6"/>
        <v>1332.5060000000001</v>
      </c>
      <c r="E33" s="976">
        <f t="shared" si="6"/>
        <v>5000</v>
      </c>
      <c r="F33" s="1006">
        <f t="shared" si="6"/>
        <v>6347.0599999999995</v>
      </c>
      <c r="G33" s="1007">
        <f t="shared" si="6"/>
        <v>2245.5700000000002</v>
      </c>
      <c r="H33" s="1008">
        <f t="shared" si="6"/>
        <v>3200</v>
      </c>
      <c r="I33" s="1009">
        <f t="shared" si="6"/>
        <v>3090</v>
      </c>
      <c r="J33" s="1010">
        <f t="shared" si="6"/>
        <v>710</v>
      </c>
      <c r="K33" s="165">
        <f t="shared" si="6"/>
        <v>7000</v>
      </c>
      <c r="L33" s="977">
        <f t="shared" si="1"/>
        <v>140</v>
      </c>
      <c r="M33" s="962">
        <f t="shared" si="2"/>
        <v>110.28728261588832</v>
      </c>
      <c r="N33" s="21"/>
    </row>
    <row r="34" spans="1:14" ht="15" customHeight="1" x14ac:dyDescent="0.25">
      <c r="A34" s="23"/>
      <c r="B34" s="23"/>
      <c r="C34" s="910"/>
      <c r="D34" s="909"/>
      <c r="E34" s="910"/>
      <c r="F34" s="913"/>
      <c r="G34" s="913"/>
      <c r="H34" s="237"/>
      <c r="I34" s="237"/>
      <c r="J34" s="237"/>
      <c r="K34" s="237"/>
      <c r="L34" s="28"/>
      <c r="M34" s="29"/>
      <c r="N34" s="19"/>
    </row>
    <row r="35" spans="1:14" ht="15" customHeight="1" x14ac:dyDescent="0.2">
      <c r="H35" s="3"/>
      <c r="I35" s="3"/>
      <c r="J35" s="3"/>
      <c r="K35" s="2"/>
    </row>
  </sheetData>
  <mergeCells count="8">
    <mergeCell ref="A2:M2"/>
    <mergeCell ref="A6:A7"/>
    <mergeCell ref="B6:B7"/>
    <mergeCell ref="C6:D6"/>
    <mergeCell ref="E6:G6"/>
    <mergeCell ref="H6:K6"/>
    <mergeCell ref="L6:L7"/>
    <mergeCell ref="M6:M7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workbookViewId="0"/>
  </sheetViews>
  <sheetFormatPr defaultRowHeight="12.75" x14ac:dyDescent="0.2"/>
  <cols>
    <col min="1" max="1" width="7.7109375" style="1" customWidth="1"/>
    <col min="2" max="2" width="46.7109375" style="1" customWidth="1"/>
    <col min="3" max="3" width="14.7109375" style="2" customWidth="1"/>
    <col min="4" max="4" width="14.7109375" style="3" customWidth="1"/>
    <col min="5" max="5" width="14.7109375" style="2" customWidth="1"/>
    <col min="6" max="7" width="14.7109375" style="3" customWidth="1"/>
    <col min="8" max="8" width="14.7109375" style="2" customWidth="1"/>
    <col min="9" max="9" width="16" style="2" customWidth="1"/>
    <col min="10" max="10" width="14.7109375" style="2" customWidth="1"/>
    <col min="11" max="11" width="14.7109375" style="4" customWidth="1"/>
    <col min="12" max="13" width="9.7109375" style="5" customWidth="1"/>
    <col min="14" max="16384" width="9.140625" style="1"/>
  </cols>
  <sheetData>
    <row r="1" spans="1:22" ht="1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6"/>
      <c r="N1" s="47"/>
      <c r="O1" s="47"/>
      <c r="P1" s="47"/>
      <c r="Q1" s="47"/>
      <c r="R1" s="47"/>
      <c r="S1" s="47"/>
      <c r="T1" s="47"/>
      <c r="U1" s="47"/>
      <c r="V1" s="47"/>
    </row>
    <row r="2" spans="1:22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70"/>
      <c r="N2" s="47"/>
      <c r="O2" s="47"/>
      <c r="P2" s="47"/>
      <c r="Q2" s="47"/>
      <c r="R2" s="47"/>
      <c r="S2" s="47"/>
      <c r="T2" s="47"/>
      <c r="U2" s="47"/>
      <c r="V2" s="47"/>
    </row>
    <row r="3" spans="1:22" ht="15" customHeight="1" x14ac:dyDescent="0.2"/>
    <row r="4" spans="1:22" ht="20.100000000000001" customHeight="1" x14ac:dyDescent="0.3">
      <c r="A4" s="7" t="s">
        <v>436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642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5" customHeight="1" thickBot="1" x14ac:dyDescent="0.35">
      <c r="A5" s="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642" t="s">
        <v>0</v>
      </c>
      <c r="N5" s="47"/>
      <c r="O5" s="47"/>
      <c r="P5" s="47"/>
      <c r="Q5" s="47"/>
      <c r="R5" s="47"/>
      <c r="S5" s="47"/>
      <c r="T5" s="47"/>
      <c r="U5" s="47"/>
      <c r="V5" s="47"/>
    </row>
    <row r="6" spans="1:22" ht="15.75" x14ac:dyDescent="0.2">
      <c r="A6" s="1471" t="s">
        <v>104</v>
      </c>
      <c r="B6" s="1465" t="s">
        <v>156</v>
      </c>
      <c r="C6" s="1473" t="s">
        <v>164</v>
      </c>
      <c r="D6" s="1474"/>
      <c r="E6" s="1473" t="s">
        <v>132</v>
      </c>
      <c r="F6" s="1475"/>
      <c r="G6" s="1474"/>
      <c r="H6" s="1476" t="s">
        <v>165</v>
      </c>
      <c r="I6" s="1477"/>
      <c r="J6" s="1477"/>
      <c r="K6" s="1478"/>
      <c r="L6" s="1479" t="s">
        <v>151</v>
      </c>
      <c r="M6" s="1481" t="s">
        <v>157</v>
      </c>
      <c r="N6" s="142"/>
      <c r="O6" s="142"/>
      <c r="P6" s="142"/>
      <c r="Q6" s="142"/>
      <c r="R6" s="142"/>
      <c r="S6" s="142"/>
      <c r="T6" s="142"/>
      <c r="U6" s="142"/>
      <c r="V6" s="142"/>
    </row>
    <row r="7" spans="1:22" ht="27" customHeight="1" thickBot="1" x14ac:dyDescent="0.25">
      <c r="A7" s="1472"/>
      <c r="B7" s="1467"/>
      <c r="C7" s="935" t="s">
        <v>163</v>
      </c>
      <c r="D7" s="936" t="s">
        <v>197</v>
      </c>
      <c r="E7" s="1216" t="s">
        <v>169</v>
      </c>
      <c r="F7" s="1217" t="s">
        <v>470</v>
      </c>
      <c r="G7" s="1218" t="s">
        <v>471</v>
      </c>
      <c r="H7" s="1171" t="s">
        <v>194</v>
      </c>
      <c r="I7" s="1170" t="s">
        <v>195</v>
      </c>
      <c r="J7" s="1172" t="s">
        <v>196</v>
      </c>
      <c r="K7" s="441" t="s">
        <v>99</v>
      </c>
      <c r="L7" s="1480"/>
      <c r="M7" s="148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20.100000000000001" customHeight="1" thickBot="1" x14ac:dyDescent="0.3">
      <c r="A8" s="9"/>
      <c r="B8" s="643" t="s">
        <v>158</v>
      </c>
      <c r="C8" s="644"/>
      <c r="D8" s="645"/>
      <c r="E8" s="644"/>
      <c r="F8" s="13"/>
      <c r="G8" s="13"/>
      <c r="H8" s="14"/>
      <c r="I8" s="14"/>
      <c r="J8" s="14"/>
      <c r="K8" s="15"/>
      <c r="L8" s="16"/>
      <c r="M8" s="17"/>
      <c r="N8" s="18"/>
      <c r="O8" s="18"/>
      <c r="P8" s="18"/>
      <c r="Q8" s="18"/>
      <c r="R8" s="18"/>
      <c r="S8" s="18"/>
      <c r="T8" s="18"/>
      <c r="U8" s="18"/>
      <c r="V8" s="18"/>
    </row>
    <row r="9" spans="1:22" ht="15.75" thickBot="1" x14ac:dyDescent="0.25">
      <c r="A9" s="506">
        <v>3636</v>
      </c>
      <c r="B9" s="528" t="s">
        <v>189</v>
      </c>
      <c r="C9" s="392">
        <v>4400</v>
      </c>
      <c r="D9" s="393">
        <v>1122.43</v>
      </c>
      <c r="E9" s="392">
        <v>4400</v>
      </c>
      <c r="F9" s="364">
        <f>10116.3+7+532.4</f>
        <v>10655.699999999999</v>
      </c>
      <c r="G9" s="365">
        <v>74.900000000000006</v>
      </c>
      <c r="H9" s="395">
        <v>3740</v>
      </c>
      <c r="I9" s="396">
        <v>440</v>
      </c>
      <c r="J9" s="397">
        <v>220</v>
      </c>
      <c r="K9" s="366">
        <f>SUM(H9:J9)</f>
        <v>4400</v>
      </c>
      <c r="L9" s="585">
        <f t="shared" ref="L9" si="0">K9/E9*100</f>
        <v>100</v>
      </c>
      <c r="M9" s="520">
        <f t="shared" ref="M9" si="1">K9/F9*100</f>
        <v>41.292453804067307</v>
      </c>
      <c r="N9" s="147"/>
      <c r="O9" s="147"/>
      <c r="P9" s="147"/>
      <c r="Q9" s="147"/>
      <c r="R9" s="147"/>
      <c r="S9" s="147"/>
      <c r="T9" s="147"/>
      <c r="U9" s="147"/>
      <c r="V9" s="147"/>
    </row>
    <row r="10" spans="1:22" ht="16.5" thickBot="1" x14ac:dyDescent="0.3">
      <c r="A10" s="973"/>
      <c r="B10" s="1020" t="s">
        <v>99</v>
      </c>
      <c r="C10" s="964">
        <f>SUM(C9)</f>
        <v>4400</v>
      </c>
      <c r="D10" s="1021">
        <f>SUM(D9)</f>
        <v>1122.43</v>
      </c>
      <c r="E10" s="964">
        <f t="shared" ref="E10:K10" si="2">SUM(E9:E9)</f>
        <v>4400</v>
      </c>
      <c r="F10" s="1022">
        <f t="shared" si="2"/>
        <v>10655.699999999999</v>
      </c>
      <c r="G10" s="1022">
        <f t="shared" si="2"/>
        <v>74.900000000000006</v>
      </c>
      <c r="H10" s="964">
        <f t="shared" si="2"/>
        <v>3740</v>
      </c>
      <c r="I10" s="1023">
        <f t="shared" si="2"/>
        <v>440</v>
      </c>
      <c r="J10" s="1024">
        <f t="shared" si="2"/>
        <v>220</v>
      </c>
      <c r="K10" s="662">
        <f t="shared" si="2"/>
        <v>4400</v>
      </c>
      <c r="L10" s="1025">
        <v>100</v>
      </c>
      <c r="M10" s="972">
        <v>39.936500963468085</v>
      </c>
      <c r="N10" s="21"/>
      <c r="O10" s="22"/>
      <c r="P10" s="22"/>
      <c r="Q10" s="22"/>
      <c r="R10" s="22"/>
      <c r="S10" s="22"/>
      <c r="T10" s="22"/>
      <c r="U10" s="22"/>
      <c r="V10" s="22"/>
    </row>
  </sheetData>
  <mergeCells count="8">
    <mergeCell ref="A2:M2"/>
    <mergeCell ref="A6:A7"/>
    <mergeCell ref="B6:B7"/>
    <mergeCell ref="C6:D6"/>
    <mergeCell ref="E6:G6"/>
    <mergeCell ref="H6:K6"/>
    <mergeCell ref="L6:L7"/>
    <mergeCell ref="M6:M7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workbookViewId="0"/>
  </sheetViews>
  <sheetFormatPr defaultRowHeight="12.75" x14ac:dyDescent="0.2"/>
  <cols>
    <col min="1" max="1" width="7.7109375" style="148" customWidth="1"/>
    <col min="2" max="2" width="6.7109375" style="1" customWidth="1"/>
    <col min="3" max="3" width="40.710937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42578125" style="2" customWidth="1"/>
    <col min="11" max="11" width="14.7109375" style="2" customWidth="1"/>
    <col min="12" max="12" width="14.7109375" style="4" customWidth="1"/>
    <col min="13" max="13" width="10.28515625" style="5" customWidth="1"/>
    <col min="14" max="14" width="10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70" width="7.4257812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6" width="7.4257812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2" width="7.4257812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8" width="7.4257812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4" width="7.4257812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50" width="7.4257812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6" width="7.4257812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2" width="7.4257812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8" width="7.4257812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4" width="7.4257812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30" width="7.4257812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6" width="7.4257812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2" width="7.4257812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8" width="7.4257812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4" width="7.4257812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10" width="7.4257812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6" width="7.4257812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2" width="7.4257812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8" width="7.4257812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4" width="7.4257812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90" width="7.4257812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6" width="7.4257812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2" width="7.4257812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8" width="7.4257812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4" width="7.4257812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70" width="7.4257812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6" width="7.4257812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2" width="7.4257812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8" width="7.4257812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4" width="7.4257812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50" width="7.4257812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6" width="7.4257812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2" width="7.4257812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8" width="7.4257812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4" width="7.4257812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30" width="7.4257812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6" width="7.4257812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2" width="7.4257812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8" width="7.4257812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4" width="7.4257812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10" width="7.4257812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6" width="7.4257812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2" width="7.4257812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8" width="7.4257812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4" width="7.4257812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90" width="7.4257812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6" width="7.4257812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2" width="7.4257812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8" width="7.4257812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4" width="7.4257812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70" width="7.4257812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6" width="7.4257812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2" width="7.4257812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8" width="7.4257812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4" width="7.4257812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50" width="7.4257812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6" width="7.4257812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2" width="7.4257812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8" width="7.4257812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4" width="7.4257812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30" width="7.4257812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6" width="7.4257812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2" width="7.42578125" style="1" customWidth="1"/>
    <col min="16143" max="16384" width="9.140625" style="1"/>
  </cols>
  <sheetData>
    <row r="1" spans="1:23" ht="15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/>
    <row r="4" spans="1:23" ht="20.100000000000001" customHeight="1" x14ac:dyDescent="0.25">
      <c r="A4" s="149" t="s">
        <v>256</v>
      </c>
      <c r="M4" s="8"/>
    </row>
    <row r="5" spans="1:23" ht="15" customHeight="1" thickBot="1" x14ac:dyDescent="0.3">
      <c r="A5" s="149"/>
      <c r="N5" s="8" t="s">
        <v>0</v>
      </c>
    </row>
    <row r="6" spans="1:23" s="142" customFormat="1" ht="15.95" customHeight="1" x14ac:dyDescent="0.15">
      <c r="A6" s="1471" t="s">
        <v>104</v>
      </c>
      <c r="B6" s="1464" t="s">
        <v>156</v>
      </c>
      <c r="C6" s="1465"/>
      <c r="D6" s="1473" t="s">
        <v>164</v>
      </c>
      <c r="E6" s="1474"/>
      <c r="F6" s="1473" t="s">
        <v>132</v>
      </c>
      <c r="G6" s="1475"/>
      <c r="H6" s="1474"/>
      <c r="I6" s="1476" t="s">
        <v>165</v>
      </c>
      <c r="J6" s="1477"/>
      <c r="K6" s="1477"/>
      <c r="L6" s="1478"/>
      <c r="M6" s="1479" t="s">
        <v>151</v>
      </c>
      <c r="N6" s="1481" t="s">
        <v>157</v>
      </c>
    </row>
    <row r="7" spans="1:23" s="142" customFormat="1" ht="27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441" t="s">
        <v>99</v>
      </c>
      <c r="M7" s="1480"/>
      <c r="N7" s="1482"/>
    </row>
    <row r="8" spans="1:23" s="18" customFormat="1" ht="20.100000000000001" customHeight="1" thickBot="1" x14ac:dyDescent="0.3">
      <c r="A8" s="551"/>
      <c r="B8" s="179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20" customFormat="1" ht="29.25" customHeight="1" x14ac:dyDescent="0.2">
      <c r="A9" s="1495">
        <v>4312</v>
      </c>
      <c r="B9" s="1559" t="s">
        <v>257</v>
      </c>
      <c r="C9" s="1560"/>
      <c r="D9" s="392">
        <v>2200</v>
      </c>
      <c r="E9" s="917">
        <v>12453.97</v>
      </c>
      <c r="F9" s="508">
        <v>2200</v>
      </c>
      <c r="G9" s="364">
        <v>12319</v>
      </c>
      <c r="H9" s="509">
        <v>12319</v>
      </c>
      <c r="I9" s="395">
        <v>10849</v>
      </c>
      <c r="J9" s="396">
        <v>859</v>
      </c>
      <c r="K9" s="510">
        <v>616</v>
      </c>
      <c r="L9" s="366">
        <f t="shared" ref="L9:L18" si="0">SUM(I9:K9)</f>
        <v>12324</v>
      </c>
      <c r="M9" s="398">
        <f t="shared" ref="M9:M18" si="1">L9/F9*100</f>
        <v>560.18181818181813</v>
      </c>
      <c r="N9" s="520">
        <f t="shared" ref="N9:N17" si="2">L9/G9*100</f>
        <v>100.04058771004141</v>
      </c>
      <c r="O9" s="147"/>
      <c r="P9" s="147"/>
      <c r="Q9" s="147"/>
      <c r="R9" s="147"/>
      <c r="S9" s="147"/>
      <c r="T9" s="147"/>
      <c r="U9" s="147"/>
      <c r="V9" s="147"/>
      <c r="W9" s="147"/>
    </row>
    <row r="10" spans="1:23" s="143" customFormat="1" ht="15" customHeight="1" x14ac:dyDescent="0.2">
      <c r="A10" s="1462"/>
      <c r="B10" s="1491" t="s">
        <v>133</v>
      </c>
      <c r="C10" s="180" t="s">
        <v>208</v>
      </c>
      <c r="D10" s="230">
        <v>638</v>
      </c>
      <c r="E10" s="918">
        <v>5837.9</v>
      </c>
      <c r="F10" s="232">
        <v>638</v>
      </c>
      <c r="G10" s="169">
        <v>5064</v>
      </c>
      <c r="H10" s="233">
        <v>5064</v>
      </c>
      <c r="I10" s="171">
        <v>4811</v>
      </c>
      <c r="J10" s="172">
        <v>0</v>
      </c>
      <c r="K10" s="234">
        <v>253</v>
      </c>
      <c r="L10" s="164">
        <f t="shared" si="0"/>
        <v>5064</v>
      </c>
      <c r="M10" s="228">
        <f t="shared" si="1"/>
        <v>793.73040752351096</v>
      </c>
      <c r="N10" s="167">
        <f t="shared" si="2"/>
        <v>100</v>
      </c>
    </row>
    <row r="11" spans="1:23" s="143" customFormat="1" ht="15" customHeight="1" x14ac:dyDescent="0.2">
      <c r="A11" s="1462"/>
      <c r="B11" s="1502"/>
      <c r="C11" s="180" t="s">
        <v>209</v>
      </c>
      <c r="D11" s="230">
        <v>1430</v>
      </c>
      <c r="E11" s="918">
        <v>6169</v>
      </c>
      <c r="F11" s="232">
        <v>1430</v>
      </c>
      <c r="G11" s="169">
        <v>7155</v>
      </c>
      <c r="H11" s="233">
        <v>7155</v>
      </c>
      <c r="I11" s="171">
        <v>5938</v>
      </c>
      <c r="J11" s="172">
        <v>859</v>
      </c>
      <c r="K11" s="234">
        <v>358</v>
      </c>
      <c r="L11" s="164">
        <f t="shared" si="0"/>
        <v>7155</v>
      </c>
      <c r="M11" s="228">
        <f t="shared" si="1"/>
        <v>500.34965034965035</v>
      </c>
      <c r="N11" s="167">
        <f t="shared" si="2"/>
        <v>100</v>
      </c>
    </row>
    <row r="12" spans="1:23" s="143" customFormat="1" ht="15" customHeight="1" x14ac:dyDescent="0.2">
      <c r="A12" s="1463"/>
      <c r="B12" s="1492"/>
      <c r="C12" s="180" t="s">
        <v>210</v>
      </c>
      <c r="D12" s="230">
        <v>132</v>
      </c>
      <c r="E12" s="918">
        <v>447.08</v>
      </c>
      <c r="F12" s="232">
        <v>132</v>
      </c>
      <c r="G12" s="169">
        <v>100</v>
      </c>
      <c r="H12" s="233">
        <v>100</v>
      </c>
      <c r="I12" s="171">
        <v>100</v>
      </c>
      <c r="J12" s="172">
        <v>0</v>
      </c>
      <c r="K12" s="234">
        <v>5</v>
      </c>
      <c r="L12" s="164">
        <f t="shared" si="0"/>
        <v>105</v>
      </c>
      <c r="M12" s="228">
        <f t="shared" si="1"/>
        <v>79.545454545454547</v>
      </c>
      <c r="N12" s="167">
        <f t="shared" si="2"/>
        <v>105</v>
      </c>
    </row>
    <row r="13" spans="1:23" s="20" customFormat="1" ht="15" customHeight="1" x14ac:dyDescent="0.2">
      <c r="A13" s="416">
        <v>4339</v>
      </c>
      <c r="B13" s="1578" t="s">
        <v>258</v>
      </c>
      <c r="C13" s="1579"/>
      <c r="D13" s="443">
        <v>400</v>
      </c>
      <c r="E13" s="919">
        <v>755.28</v>
      </c>
      <c r="F13" s="494">
        <v>400</v>
      </c>
      <c r="G13" s="370">
        <v>1100</v>
      </c>
      <c r="H13" s="512">
        <v>762.15</v>
      </c>
      <c r="I13" s="496">
        <v>0</v>
      </c>
      <c r="J13" s="484">
        <v>0</v>
      </c>
      <c r="K13" s="513">
        <v>400</v>
      </c>
      <c r="L13" s="373">
        <f t="shared" si="0"/>
        <v>400</v>
      </c>
      <c r="M13" s="408">
        <f t="shared" si="1"/>
        <v>100</v>
      </c>
      <c r="N13" s="385">
        <f t="shared" si="2"/>
        <v>36.363636363636367</v>
      </c>
    </row>
    <row r="14" spans="1:23" s="20" customFormat="1" ht="31.5" customHeight="1" x14ac:dyDescent="0.2">
      <c r="A14" s="416">
        <v>4342</v>
      </c>
      <c r="B14" s="1561" t="s">
        <v>278</v>
      </c>
      <c r="C14" s="1562"/>
      <c r="D14" s="443">
        <v>100</v>
      </c>
      <c r="E14" s="919">
        <v>34.090000000000003</v>
      </c>
      <c r="F14" s="494">
        <v>100</v>
      </c>
      <c r="G14" s="370">
        <v>100</v>
      </c>
      <c r="H14" s="512">
        <v>0</v>
      </c>
      <c r="I14" s="496">
        <v>0</v>
      </c>
      <c r="J14" s="484">
        <v>0</v>
      </c>
      <c r="K14" s="513">
        <v>100</v>
      </c>
      <c r="L14" s="373">
        <f t="shared" si="0"/>
        <v>100</v>
      </c>
      <c r="M14" s="408">
        <f t="shared" si="1"/>
        <v>100</v>
      </c>
      <c r="N14" s="385">
        <f t="shared" si="2"/>
        <v>100</v>
      </c>
    </row>
    <row r="15" spans="1:23" s="20" customFormat="1" ht="30.75" customHeight="1" x14ac:dyDescent="0.2">
      <c r="A15" s="1461">
        <v>4344</v>
      </c>
      <c r="B15" s="1561" t="s">
        <v>259</v>
      </c>
      <c r="C15" s="1562"/>
      <c r="D15" s="443">
        <v>124</v>
      </c>
      <c r="E15" s="919">
        <v>274.2</v>
      </c>
      <c r="F15" s="494">
        <v>124</v>
      </c>
      <c r="G15" s="370">
        <v>150</v>
      </c>
      <c r="H15" s="512">
        <v>150</v>
      </c>
      <c r="I15" s="496">
        <v>137</v>
      </c>
      <c r="J15" s="484">
        <v>12</v>
      </c>
      <c r="K15" s="513">
        <v>8</v>
      </c>
      <c r="L15" s="373">
        <f t="shared" si="0"/>
        <v>157</v>
      </c>
      <c r="M15" s="408">
        <f t="shared" si="1"/>
        <v>126.61290322580645</v>
      </c>
      <c r="N15" s="385">
        <f t="shared" si="2"/>
        <v>104.66666666666666</v>
      </c>
    </row>
    <row r="16" spans="1:23" s="143" customFormat="1" ht="15" customHeight="1" x14ac:dyDescent="0.2">
      <c r="A16" s="1462"/>
      <c r="B16" s="1491" t="s">
        <v>133</v>
      </c>
      <c r="C16" s="180" t="s">
        <v>208</v>
      </c>
      <c r="D16" s="230">
        <v>36</v>
      </c>
      <c r="E16" s="918">
        <v>0</v>
      </c>
      <c r="F16" s="232">
        <v>36</v>
      </c>
      <c r="G16" s="169">
        <v>50</v>
      </c>
      <c r="H16" s="233">
        <v>50</v>
      </c>
      <c r="I16" s="171">
        <v>47</v>
      </c>
      <c r="J16" s="172">
        <v>0</v>
      </c>
      <c r="K16" s="234">
        <v>3</v>
      </c>
      <c r="L16" s="164">
        <f t="shared" si="0"/>
        <v>50</v>
      </c>
      <c r="M16" s="228">
        <f t="shared" si="1"/>
        <v>138.88888888888889</v>
      </c>
      <c r="N16" s="167">
        <f t="shared" si="2"/>
        <v>100</v>
      </c>
    </row>
    <row r="17" spans="1:14" s="143" customFormat="1" ht="15" customHeight="1" x14ac:dyDescent="0.2">
      <c r="A17" s="1462"/>
      <c r="B17" s="1502"/>
      <c r="C17" s="180" t="s">
        <v>209</v>
      </c>
      <c r="D17" s="230">
        <v>81</v>
      </c>
      <c r="E17" s="918">
        <v>274.2</v>
      </c>
      <c r="F17" s="232">
        <v>81</v>
      </c>
      <c r="G17" s="169">
        <v>100</v>
      </c>
      <c r="H17" s="233">
        <v>100</v>
      </c>
      <c r="I17" s="171">
        <v>83</v>
      </c>
      <c r="J17" s="172">
        <v>12</v>
      </c>
      <c r="K17" s="234">
        <v>5</v>
      </c>
      <c r="L17" s="164">
        <f t="shared" si="0"/>
        <v>100</v>
      </c>
      <c r="M17" s="228">
        <f t="shared" si="1"/>
        <v>123.45679012345678</v>
      </c>
      <c r="N17" s="167">
        <f t="shared" si="2"/>
        <v>100</v>
      </c>
    </row>
    <row r="18" spans="1:14" s="143" customFormat="1" ht="15" customHeight="1" x14ac:dyDescent="0.2">
      <c r="A18" s="1463"/>
      <c r="B18" s="1492"/>
      <c r="C18" s="180" t="s">
        <v>210</v>
      </c>
      <c r="D18" s="230">
        <v>7</v>
      </c>
      <c r="E18" s="918">
        <v>0</v>
      </c>
      <c r="F18" s="232">
        <v>7</v>
      </c>
      <c r="G18" s="169">
        <v>0</v>
      </c>
      <c r="H18" s="233">
        <v>0</v>
      </c>
      <c r="I18" s="171">
        <v>7</v>
      </c>
      <c r="J18" s="172">
        <v>0</v>
      </c>
      <c r="K18" s="234">
        <v>0</v>
      </c>
      <c r="L18" s="164">
        <f t="shared" si="0"/>
        <v>7</v>
      </c>
      <c r="M18" s="228">
        <f t="shared" si="1"/>
        <v>100</v>
      </c>
      <c r="N18" s="167" t="s">
        <v>71</v>
      </c>
    </row>
    <row r="19" spans="1:14" s="20" customFormat="1" ht="29.25" customHeight="1" x14ac:dyDescent="0.2">
      <c r="A19" s="416">
        <v>4349</v>
      </c>
      <c r="B19" s="1561" t="s">
        <v>260</v>
      </c>
      <c r="C19" s="1562"/>
      <c r="D19" s="443">
        <v>300</v>
      </c>
      <c r="E19" s="919">
        <v>0</v>
      </c>
      <c r="F19" s="494">
        <v>300</v>
      </c>
      <c r="G19" s="370">
        <v>300</v>
      </c>
      <c r="H19" s="512">
        <v>33.18</v>
      </c>
      <c r="I19" s="496">
        <v>0</v>
      </c>
      <c r="J19" s="484">
        <v>0</v>
      </c>
      <c r="K19" s="513">
        <v>300</v>
      </c>
      <c r="L19" s="373">
        <f t="shared" ref="L19:L24" si="3">SUM(I19:K19)</f>
        <v>300</v>
      </c>
      <c r="M19" s="408">
        <f t="shared" ref="M19:M24" si="4">L19/F19*100</f>
        <v>100</v>
      </c>
      <c r="N19" s="385">
        <f t="shared" ref="N19:N24" si="5">L19/G19*100</f>
        <v>100</v>
      </c>
    </row>
    <row r="20" spans="1:14" s="20" customFormat="1" ht="29.25" customHeight="1" x14ac:dyDescent="0.2">
      <c r="A20" s="1461">
        <v>4350</v>
      </c>
      <c r="B20" s="1561" t="s">
        <v>261</v>
      </c>
      <c r="C20" s="1562"/>
      <c r="D20" s="443">
        <v>175702</v>
      </c>
      <c r="E20" s="919">
        <v>177908.49</v>
      </c>
      <c r="F20" s="494">
        <v>179952</v>
      </c>
      <c r="G20" s="370">
        <v>155654.37</v>
      </c>
      <c r="H20" s="512">
        <v>131147.75</v>
      </c>
      <c r="I20" s="496">
        <v>148470</v>
      </c>
      <c r="J20" s="484">
        <v>13978</v>
      </c>
      <c r="K20" s="513">
        <v>8550</v>
      </c>
      <c r="L20" s="373">
        <f t="shared" si="3"/>
        <v>170998</v>
      </c>
      <c r="M20" s="408">
        <f t="shared" si="4"/>
        <v>95.024228683204413</v>
      </c>
      <c r="N20" s="385">
        <f t="shared" si="5"/>
        <v>109.85750030660881</v>
      </c>
    </row>
    <row r="21" spans="1:14" s="143" customFormat="1" ht="15" customHeight="1" x14ac:dyDescent="0.2">
      <c r="A21" s="1462"/>
      <c r="B21" s="1491" t="s">
        <v>133</v>
      </c>
      <c r="C21" s="180" t="s">
        <v>208</v>
      </c>
      <c r="D21" s="230">
        <v>50954</v>
      </c>
      <c r="E21" s="918">
        <v>45359.54</v>
      </c>
      <c r="F21" s="232">
        <v>52479</v>
      </c>
      <c r="G21" s="169">
        <v>47083.83</v>
      </c>
      <c r="H21" s="233">
        <v>47083.82</v>
      </c>
      <c r="I21" s="171">
        <v>40318</v>
      </c>
      <c r="J21" s="172">
        <v>0</v>
      </c>
      <c r="K21" s="234">
        <v>2122</v>
      </c>
      <c r="L21" s="164">
        <f t="shared" si="3"/>
        <v>42440</v>
      </c>
      <c r="M21" s="228">
        <f t="shared" si="4"/>
        <v>80.870443415461423</v>
      </c>
      <c r="N21" s="167">
        <f t="shared" si="5"/>
        <v>90.137102270567198</v>
      </c>
    </row>
    <row r="22" spans="1:14" s="143" customFormat="1" ht="15" customHeight="1" x14ac:dyDescent="0.2">
      <c r="A22" s="1462"/>
      <c r="B22" s="1502"/>
      <c r="C22" s="180" t="s">
        <v>209</v>
      </c>
      <c r="D22" s="230">
        <v>114206</v>
      </c>
      <c r="E22" s="918">
        <v>78976.66</v>
      </c>
      <c r="F22" s="232">
        <v>116481</v>
      </c>
      <c r="G22" s="169">
        <v>96493.66</v>
      </c>
      <c r="H22" s="233">
        <v>71987.039999999994</v>
      </c>
      <c r="I22" s="171">
        <v>96679</v>
      </c>
      <c r="J22" s="172">
        <v>13978</v>
      </c>
      <c r="K22" s="234">
        <v>5824</v>
      </c>
      <c r="L22" s="164">
        <f t="shared" si="3"/>
        <v>116481</v>
      </c>
      <c r="M22" s="228">
        <f t="shared" si="4"/>
        <v>100</v>
      </c>
      <c r="N22" s="167">
        <f t="shared" si="5"/>
        <v>120.71363030483037</v>
      </c>
    </row>
    <row r="23" spans="1:14" s="143" customFormat="1" ht="15" customHeight="1" x14ac:dyDescent="0.2">
      <c r="A23" s="1463"/>
      <c r="B23" s="1492"/>
      <c r="C23" s="180" t="s">
        <v>210</v>
      </c>
      <c r="D23" s="230">
        <v>10542</v>
      </c>
      <c r="E23" s="918">
        <v>53572.28</v>
      </c>
      <c r="F23" s="232">
        <v>10992</v>
      </c>
      <c r="G23" s="169">
        <v>12076.89</v>
      </c>
      <c r="H23" s="233">
        <v>12076.89</v>
      </c>
      <c r="I23" s="171">
        <v>11473</v>
      </c>
      <c r="J23" s="172">
        <v>0</v>
      </c>
      <c r="K23" s="234">
        <v>604</v>
      </c>
      <c r="L23" s="164">
        <f t="shared" si="3"/>
        <v>12077</v>
      </c>
      <c r="M23" s="228">
        <f t="shared" si="4"/>
        <v>109.87081513828238</v>
      </c>
      <c r="N23" s="167">
        <f t="shared" si="5"/>
        <v>100.00091083052011</v>
      </c>
    </row>
    <row r="24" spans="1:14" s="20" customFormat="1" ht="41.25" customHeight="1" x14ac:dyDescent="0.2">
      <c r="A24" s="1461">
        <v>4351</v>
      </c>
      <c r="B24" s="1561" t="s">
        <v>262</v>
      </c>
      <c r="C24" s="1562"/>
      <c r="D24" s="443">
        <v>1089</v>
      </c>
      <c r="E24" s="919">
        <v>1623.85</v>
      </c>
      <c r="F24" s="494">
        <v>1089</v>
      </c>
      <c r="G24" s="370">
        <v>1507.4</v>
      </c>
      <c r="H24" s="512">
        <v>1507.4</v>
      </c>
      <c r="I24" s="496">
        <v>1524</v>
      </c>
      <c r="J24" s="484">
        <v>168</v>
      </c>
      <c r="K24" s="513">
        <v>89</v>
      </c>
      <c r="L24" s="373">
        <f t="shared" si="3"/>
        <v>1781</v>
      </c>
      <c r="M24" s="408">
        <f t="shared" si="4"/>
        <v>163.54453627180899</v>
      </c>
      <c r="N24" s="385">
        <f t="shared" si="5"/>
        <v>118.15045774180707</v>
      </c>
    </row>
    <row r="25" spans="1:14" s="143" customFormat="1" ht="15" customHeight="1" x14ac:dyDescent="0.2">
      <c r="A25" s="1462"/>
      <c r="B25" s="1491" t="s">
        <v>133</v>
      </c>
      <c r="C25" s="180" t="s">
        <v>208</v>
      </c>
      <c r="D25" s="230">
        <v>316</v>
      </c>
      <c r="E25" s="918">
        <v>209.6</v>
      </c>
      <c r="F25" s="232">
        <v>316</v>
      </c>
      <c r="G25" s="169">
        <v>186.5</v>
      </c>
      <c r="H25" s="233">
        <v>186.5</v>
      </c>
      <c r="I25" s="171">
        <v>300</v>
      </c>
      <c r="J25" s="172">
        <v>0</v>
      </c>
      <c r="K25" s="234">
        <v>16</v>
      </c>
      <c r="L25" s="156">
        <f>SUM(I25:K25)</f>
        <v>316</v>
      </c>
      <c r="M25" s="228">
        <f>L25/F25*100</f>
        <v>100</v>
      </c>
      <c r="N25" s="167">
        <f>L25/G25*100</f>
        <v>169.43699731903484</v>
      </c>
    </row>
    <row r="26" spans="1:14" s="143" customFormat="1" ht="15" customHeight="1" x14ac:dyDescent="0.2">
      <c r="A26" s="1462"/>
      <c r="B26" s="1502"/>
      <c r="C26" s="180" t="s">
        <v>209</v>
      </c>
      <c r="D26" s="230">
        <v>708</v>
      </c>
      <c r="E26" s="918">
        <v>1414.25</v>
      </c>
      <c r="F26" s="232">
        <v>708</v>
      </c>
      <c r="G26" s="169">
        <v>1320.9</v>
      </c>
      <c r="H26" s="233">
        <v>1320.9</v>
      </c>
      <c r="I26" s="171">
        <v>1162</v>
      </c>
      <c r="J26" s="172">
        <v>168</v>
      </c>
      <c r="K26" s="234">
        <v>70</v>
      </c>
      <c r="L26" s="156">
        <f>SUM(I26:K26)</f>
        <v>1400</v>
      </c>
      <c r="M26" s="228">
        <f>L26/F26*100</f>
        <v>197.74011299435028</v>
      </c>
      <c r="N26" s="167">
        <f>L26/G26*100</f>
        <v>105.98834128245893</v>
      </c>
    </row>
    <row r="27" spans="1:14" s="143" customFormat="1" ht="15" customHeight="1" x14ac:dyDescent="0.2">
      <c r="A27" s="1463"/>
      <c r="B27" s="1492"/>
      <c r="C27" s="180" t="s">
        <v>210</v>
      </c>
      <c r="D27" s="230">
        <v>65</v>
      </c>
      <c r="E27" s="918">
        <v>0</v>
      </c>
      <c r="F27" s="232">
        <v>65</v>
      </c>
      <c r="G27" s="169">
        <v>0</v>
      </c>
      <c r="H27" s="233">
        <v>0</v>
      </c>
      <c r="I27" s="171">
        <v>62</v>
      </c>
      <c r="J27" s="172">
        <v>0</v>
      </c>
      <c r="K27" s="234">
        <v>3</v>
      </c>
      <c r="L27" s="156">
        <f>SUM(I27:K27)</f>
        <v>65</v>
      </c>
      <c r="M27" s="228">
        <f>L27/F27*100</f>
        <v>100</v>
      </c>
      <c r="N27" s="167" t="s">
        <v>71</v>
      </c>
    </row>
    <row r="28" spans="1:14" s="20" customFormat="1" ht="30.75" customHeight="1" x14ac:dyDescent="0.2">
      <c r="A28" s="1461">
        <v>4354</v>
      </c>
      <c r="B28" s="1561" t="s">
        <v>263</v>
      </c>
      <c r="C28" s="1562"/>
      <c r="D28" s="443">
        <v>15134</v>
      </c>
      <c r="E28" s="919">
        <v>10536.87</v>
      </c>
      <c r="F28" s="494">
        <v>15134</v>
      </c>
      <c r="G28" s="370">
        <v>12667.92</v>
      </c>
      <c r="H28" s="512">
        <v>9920.92</v>
      </c>
      <c r="I28" s="496">
        <v>13197</v>
      </c>
      <c r="J28" s="484">
        <v>1180</v>
      </c>
      <c r="K28" s="513">
        <v>757</v>
      </c>
      <c r="L28" s="373">
        <f>SUM(I28:K28)</f>
        <v>15134</v>
      </c>
      <c r="M28" s="408">
        <f t="shared" ref="M28:M76" si="6">L28/F28*100</f>
        <v>100</v>
      </c>
      <c r="N28" s="385">
        <f t="shared" ref="N28:N77" si="7">L28/G28*100</f>
        <v>119.4671264106499</v>
      </c>
    </row>
    <row r="29" spans="1:14" s="143" customFormat="1" ht="15" customHeight="1" x14ac:dyDescent="0.2">
      <c r="A29" s="1462"/>
      <c r="B29" s="1491" t="s">
        <v>133</v>
      </c>
      <c r="C29" s="180" t="s">
        <v>208</v>
      </c>
      <c r="D29" s="230">
        <v>4389</v>
      </c>
      <c r="E29" s="918">
        <v>3126.47</v>
      </c>
      <c r="F29" s="232">
        <v>4389</v>
      </c>
      <c r="G29" s="169">
        <v>2405.92</v>
      </c>
      <c r="H29" s="233">
        <v>2405.92</v>
      </c>
      <c r="I29" s="171">
        <v>4169</v>
      </c>
      <c r="J29" s="172">
        <v>0</v>
      </c>
      <c r="K29" s="234">
        <v>220</v>
      </c>
      <c r="L29" s="164">
        <f t="shared" ref="L29:L44" si="8">SUM(I29:K29)</f>
        <v>4389</v>
      </c>
      <c r="M29" s="228">
        <f t="shared" si="6"/>
        <v>100</v>
      </c>
      <c r="N29" s="167">
        <f t="shared" si="7"/>
        <v>182.42501828822236</v>
      </c>
    </row>
    <row r="30" spans="1:14" s="143" customFormat="1" ht="15" customHeight="1" x14ac:dyDescent="0.2">
      <c r="A30" s="1462"/>
      <c r="B30" s="1502"/>
      <c r="C30" s="180" t="s">
        <v>209</v>
      </c>
      <c r="D30" s="230">
        <v>9837</v>
      </c>
      <c r="E30" s="918">
        <v>6412.9</v>
      </c>
      <c r="F30" s="232">
        <v>9837</v>
      </c>
      <c r="G30" s="169">
        <v>9837</v>
      </c>
      <c r="H30" s="233">
        <v>7090</v>
      </c>
      <c r="I30" s="171">
        <v>8165</v>
      </c>
      <c r="J30" s="172">
        <v>1180</v>
      </c>
      <c r="K30" s="234">
        <v>492</v>
      </c>
      <c r="L30" s="164">
        <f t="shared" si="8"/>
        <v>9837</v>
      </c>
      <c r="M30" s="228">
        <f t="shared" si="6"/>
        <v>100</v>
      </c>
      <c r="N30" s="167">
        <f t="shared" si="7"/>
        <v>100</v>
      </c>
    </row>
    <row r="31" spans="1:14" s="143" customFormat="1" ht="15" customHeight="1" x14ac:dyDescent="0.2">
      <c r="A31" s="1463"/>
      <c r="B31" s="1492"/>
      <c r="C31" s="180" t="s">
        <v>210</v>
      </c>
      <c r="D31" s="230">
        <v>908</v>
      </c>
      <c r="E31" s="918">
        <v>997.5</v>
      </c>
      <c r="F31" s="232">
        <v>908</v>
      </c>
      <c r="G31" s="169">
        <v>425</v>
      </c>
      <c r="H31" s="233">
        <v>425</v>
      </c>
      <c r="I31" s="171">
        <v>863</v>
      </c>
      <c r="J31" s="172">
        <v>0</v>
      </c>
      <c r="K31" s="234">
        <v>45</v>
      </c>
      <c r="L31" s="164">
        <f t="shared" si="8"/>
        <v>908</v>
      </c>
      <c r="M31" s="228">
        <f t="shared" si="6"/>
        <v>100</v>
      </c>
      <c r="N31" s="167">
        <f t="shared" si="7"/>
        <v>213.64705882352939</v>
      </c>
    </row>
    <row r="32" spans="1:14" s="20" customFormat="1" ht="30" customHeight="1" x14ac:dyDescent="0.2">
      <c r="A32" s="1461">
        <v>4355</v>
      </c>
      <c r="B32" s="1561" t="s">
        <v>264</v>
      </c>
      <c r="C32" s="1562"/>
      <c r="D32" s="443">
        <v>3835</v>
      </c>
      <c r="E32" s="919">
        <v>4191.82</v>
      </c>
      <c r="F32" s="494">
        <v>3835</v>
      </c>
      <c r="G32" s="370">
        <v>5000.8999999999996</v>
      </c>
      <c r="H32" s="512">
        <v>5000.8999999999996</v>
      </c>
      <c r="I32" s="496">
        <v>4511</v>
      </c>
      <c r="J32" s="484">
        <v>468</v>
      </c>
      <c r="K32" s="513">
        <v>263</v>
      </c>
      <c r="L32" s="373">
        <f t="shared" si="8"/>
        <v>5242</v>
      </c>
      <c r="M32" s="408">
        <f t="shared" si="6"/>
        <v>136.6883963494133</v>
      </c>
      <c r="N32" s="385">
        <f t="shared" si="7"/>
        <v>104.82113219620469</v>
      </c>
    </row>
    <row r="33" spans="1:14" s="143" customFormat="1" ht="15" customHeight="1" x14ac:dyDescent="0.2">
      <c r="A33" s="1462"/>
      <c r="B33" s="1491" t="s">
        <v>133</v>
      </c>
      <c r="C33" s="180" t="s">
        <v>208</v>
      </c>
      <c r="D33" s="230">
        <v>1112</v>
      </c>
      <c r="E33" s="918">
        <v>574.08000000000004</v>
      </c>
      <c r="F33" s="232">
        <v>1112</v>
      </c>
      <c r="G33" s="169">
        <v>950</v>
      </c>
      <c r="H33" s="233">
        <v>950</v>
      </c>
      <c r="I33" s="171">
        <v>1056</v>
      </c>
      <c r="J33" s="172">
        <v>0</v>
      </c>
      <c r="K33" s="234">
        <v>56</v>
      </c>
      <c r="L33" s="164">
        <f t="shared" si="8"/>
        <v>1112</v>
      </c>
      <c r="M33" s="228">
        <f t="shared" si="6"/>
        <v>100</v>
      </c>
      <c r="N33" s="167">
        <f t="shared" si="7"/>
        <v>117.05263157894737</v>
      </c>
    </row>
    <row r="34" spans="1:14" s="143" customFormat="1" ht="15" customHeight="1" x14ac:dyDescent="0.2">
      <c r="A34" s="1462"/>
      <c r="B34" s="1502"/>
      <c r="C34" s="180" t="s">
        <v>209</v>
      </c>
      <c r="D34" s="230">
        <v>2493</v>
      </c>
      <c r="E34" s="918">
        <v>3554</v>
      </c>
      <c r="F34" s="232">
        <v>2493</v>
      </c>
      <c r="G34" s="169">
        <v>3900.9</v>
      </c>
      <c r="H34" s="233">
        <v>3900.9</v>
      </c>
      <c r="I34" s="171">
        <v>3237</v>
      </c>
      <c r="J34" s="172">
        <v>468</v>
      </c>
      <c r="K34" s="234">
        <v>195</v>
      </c>
      <c r="L34" s="164">
        <f t="shared" si="8"/>
        <v>3900</v>
      </c>
      <c r="M34" s="228">
        <f t="shared" si="6"/>
        <v>156.43802647412755</v>
      </c>
      <c r="N34" s="167">
        <f t="shared" si="7"/>
        <v>99.976928401138196</v>
      </c>
    </row>
    <row r="35" spans="1:14" s="143" customFormat="1" ht="15" customHeight="1" x14ac:dyDescent="0.2">
      <c r="A35" s="1463"/>
      <c r="B35" s="1492"/>
      <c r="C35" s="180" t="s">
        <v>210</v>
      </c>
      <c r="D35" s="230">
        <v>230</v>
      </c>
      <c r="E35" s="918">
        <v>63.74</v>
      </c>
      <c r="F35" s="232">
        <v>230</v>
      </c>
      <c r="G35" s="169">
        <v>150</v>
      </c>
      <c r="H35" s="233">
        <v>150</v>
      </c>
      <c r="I35" s="171">
        <v>218</v>
      </c>
      <c r="J35" s="172">
        <v>0</v>
      </c>
      <c r="K35" s="234">
        <v>12</v>
      </c>
      <c r="L35" s="164">
        <f t="shared" si="8"/>
        <v>230</v>
      </c>
      <c r="M35" s="228">
        <f t="shared" si="6"/>
        <v>100</v>
      </c>
      <c r="N35" s="167">
        <f t="shared" si="7"/>
        <v>153.33333333333334</v>
      </c>
    </row>
    <row r="36" spans="1:14" s="20" customFormat="1" ht="29.25" customHeight="1" x14ac:dyDescent="0.2">
      <c r="A36" s="1461">
        <v>4356</v>
      </c>
      <c r="B36" s="1483" t="s">
        <v>265</v>
      </c>
      <c r="C36" s="1484"/>
      <c r="D36" s="443">
        <v>1833</v>
      </c>
      <c r="E36" s="919">
        <v>3479.2</v>
      </c>
      <c r="F36" s="494">
        <v>1833</v>
      </c>
      <c r="G36" s="370">
        <v>2432.1999999999998</v>
      </c>
      <c r="H36" s="512">
        <v>2432.1999999999998</v>
      </c>
      <c r="I36" s="496">
        <v>2291</v>
      </c>
      <c r="J36" s="484">
        <v>228</v>
      </c>
      <c r="K36" s="513">
        <v>133</v>
      </c>
      <c r="L36" s="373">
        <f t="shared" si="8"/>
        <v>2652</v>
      </c>
      <c r="M36" s="408">
        <f t="shared" si="6"/>
        <v>144.68085106382981</v>
      </c>
      <c r="N36" s="385">
        <f t="shared" si="7"/>
        <v>109.0370857659732</v>
      </c>
    </row>
    <row r="37" spans="1:14" s="143" customFormat="1" ht="15" customHeight="1" x14ac:dyDescent="0.2">
      <c r="A37" s="1462"/>
      <c r="B37" s="1491" t="s">
        <v>133</v>
      </c>
      <c r="C37" s="180" t="s">
        <v>208</v>
      </c>
      <c r="D37" s="230">
        <v>532</v>
      </c>
      <c r="E37" s="918">
        <v>717.98</v>
      </c>
      <c r="F37" s="232">
        <v>532</v>
      </c>
      <c r="G37" s="169">
        <v>311.7</v>
      </c>
      <c r="H37" s="233">
        <v>311.7</v>
      </c>
      <c r="I37" s="171">
        <v>505</v>
      </c>
      <c r="J37" s="172">
        <v>0</v>
      </c>
      <c r="K37" s="234">
        <v>27</v>
      </c>
      <c r="L37" s="164">
        <f t="shared" si="8"/>
        <v>532</v>
      </c>
      <c r="M37" s="228">
        <f t="shared" si="6"/>
        <v>100</v>
      </c>
      <c r="N37" s="167">
        <f t="shared" si="7"/>
        <v>170.67693294834777</v>
      </c>
    </row>
    <row r="38" spans="1:14" s="143" customFormat="1" ht="15" customHeight="1" x14ac:dyDescent="0.2">
      <c r="A38" s="1462"/>
      <c r="B38" s="1502"/>
      <c r="C38" s="180" t="s">
        <v>209</v>
      </c>
      <c r="D38" s="230">
        <v>1191</v>
      </c>
      <c r="E38" s="918">
        <v>2221.5</v>
      </c>
      <c r="F38" s="232">
        <v>1191</v>
      </c>
      <c r="G38" s="169">
        <v>1896.5</v>
      </c>
      <c r="H38" s="233">
        <v>1896.5</v>
      </c>
      <c r="I38" s="171">
        <v>1577</v>
      </c>
      <c r="J38" s="172">
        <v>228</v>
      </c>
      <c r="K38" s="234">
        <v>95</v>
      </c>
      <c r="L38" s="164">
        <f t="shared" si="8"/>
        <v>1900</v>
      </c>
      <c r="M38" s="228">
        <f t="shared" si="6"/>
        <v>159.52980688497061</v>
      </c>
      <c r="N38" s="167">
        <f t="shared" si="7"/>
        <v>100.18455048774058</v>
      </c>
    </row>
    <row r="39" spans="1:14" s="143" customFormat="1" ht="15" customHeight="1" x14ac:dyDescent="0.2">
      <c r="A39" s="1463"/>
      <c r="B39" s="1492"/>
      <c r="C39" s="180" t="s">
        <v>210</v>
      </c>
      <c r="D39" s="230">
        <v>110</v>
      </c>
      <c r="E39" s="918">
        <v>539.72</v>
      </c>
      <c r="F39" s="232">
        <v>110</v>
      </c>
      <c r="G39" s="169">
        <v>224</v>
      </c>
      <c r="H39" s="233">
        <v>224</v>
      </c>
      <c r="I39" s="171">
        <v>209</v>
      </c>
      <c r="J39" s="172">
        <v>0</v>
      </c>
      <c r="K39" s="234">
        <v>11</v>
      </c>
      <c r="L39" s="164">
        <f t="shared" si="8"/>
        <v>220</v>
      </c>
      <c r="M39" s="228">
        <f t="shared" si="6"/>
        <v>200</v>
      </c>
      <c r="N39" s="167">
        <f t="shared" si="7"/>
        <v>98.214285714285708</v>
      </c>
    </row>
    <row r="40" spans="1:14" s="20" customFormat="1" ht="15" customHeight="1" x14ac:dyDescent="0.2">
      <c r="A40" s="416">
        <v>4356</v>
      </c>
      <c r="B40" s="1483" t="s">
        <v>192</v>
      </c>
      <c r="C40" s="1484"/>
      <c r="D40" s="368">
        <v>0</v>
      </c>
      <c r="E40" s="919">
        <v>42</v>
      </c>
      <c r="F40" s="497">
        <v>0</v>
      </c>
      <c r="G40" s="498">
        <v>0</v>
      </c>
      <c r="H40" s="516">
        <v>0</v>
      </c>
      <c r="I40" s="496">
        <v>0</v>
      </c>
      <c r="J40" s="484">
        <v>0</v>
      </c>
      <c r="K40" s="513">
        <v>0</v>
      </c>
      <c r="L40" s="373">
        <f t="shared" ref="L40" si="9">SUM(I40:K40)</f>
        <v>0</v>
      </c>
      <c r="M40" s="408" t="s">
        <v>159</v>
      </c>
      <c r="N40" s="385" t="s">
        <v>159</v>
      </c>
    </row>
    <row r="41" spans="1:14" s="20" customFormat="1" ht="44.25" customHeight="1" x14ac:dyDescent="0.2">
      <c r="A41" s="1461">
        <v>4357</v>
      </c>
      <c r="B41" s="1483" t="s">
        <v>266</v>
      </c>
      <c r="C41" s="1484"/>
      <c r="D41" s="443">
        <v>82720</v>
      </c>
      <c r="E41" s="919">
        <v>104653.73</v>
      </c>
      <c r="F41" s="494">
        <v>82986</v>
      </c>
      <c r="G41" s="370">
        <v>95684.14</v>
      </c>
      <c r="H41" s="503">
        <v>95684.14</v>
      </c>
      <c r="I41" s="494">
        <v>78627</v>
      </c>
      <c r="J41" s="484">
        <v>7110</v>
      </c>
      <c r="K41" s="513">
        <v>4513</v>
      </c>
      <c r="L41" s="373">
        <f t="shared" si="8"/>
        <v>90250</v>
      </c>
      <c r="M41" s="408">
        <f t="shared" si="6"/>
        <v>108.75328368640493</v>
      </c>
      <c r="N41" s="385">
        <f t="shared" si="7"/>
        <v>94.32075158955287</v>
      </c>
    </row>
    <row r="42" spans="1:14" s="143" customFormat="1" ht="15" customHeight="1" x14ac:dyDescent="0.2">
      <c r="A42" s="1462"/>
      <c r="B42" s="1491" t="s">
        <v>133</v>
      </c>
      <c r="C42" s="180" t="s">
        <v>208</v>
      </c>
      <c r="D42" s="230">
        <v>23989</v>
      </c>
      <c r="E42" s="918">
        <v>26893.68</v>
      </c>
      <c r="F42" s="232">
        <v>24175</v>
      </c>
      <c r="G42" s="169">
        <v>27563.02</v>
      </c>
      <c r="H42" s="239">
        <v>27563.02</v>
      </c>
      <c r="I42" s="232">
        <v>24225</v>
      </c>
      <c r="J42" s="172">
        <v>0</v>
      </c>
      <c r="K42" s="234">
        <v>1275</v>
      </c>
      <c r="L42" s="164">
        <f t="shared" si="8"/>
        <v>25500</v>
      </c>
      <c r="M42" s="228">
        <f t="shared" si="6"/>
        <v>105.48086866597725</v>
      </c>
      <c r="N42" s="167">
        <f t="shared" si="7"/>
        <v>92.5152613900799</v>
      </c>
    </row>
    <row r="43" spans="1:14" s="143" customFormat="1" ht="15" customHeight="1" x14ac:dyDescent="0.2">
      <c r="A43" s="1462"/>
      <c r="B43" s="1502"/>
      <c r="C43" s="180" t="s">
        <v>209</v>
      </c>
      <c r="D43" s="230">
        <v>53768</v>
      </c>
      <c r="E43" s="918">
        <v>64446.7</v>
      </c>
      <c r="F43" s="232">
        <v>53768</v>
      </c>
      <c r="G43" s="169">
        <v>61896.639999999999</v>
      </c>
      <c r="H43" s="239">
        <v>61896.639999999999</v>
      </c>
      <c r="I43" s="232">
        <v>49177</v>
      </c>
      <c r="J43" s="172">
        <v>7110</v>
      </c>
      <c r="K43" s="234">
        <v>2963</v>
      </c>
      <c r="L43" s="164">
        <f t="shared" si="8"/>
        <v>59250</v>
      </c>
      <c r="M43" s="228">
        <f t="shared" si="6"/>
        <v>110.19565540842136</v>
      </c>
      <c r="N43" s="167">
        <f t="shared" si="7"/>
        <v>95.724097463125617</v>
      </c>
    </row>
    <row r="44" spans="1:14" s="143" customFormat="1" ht="15" customHeight="1" x14ac:dyDescent="0.2">
      <c r="A44" s="1463"/>
      <c r="B44" s="1492"/>
      <c r="C44" s="180" t="s">
        <v>210</v>
      </c>
      <c r="D44" s="230">
        <v>4963</v>
      </c>
      <c r="E44" s="918">
        <v>13313.35</v>
      </c>
      <c r="F44" s="232">
        <v>5043</v>
      </c>
      <c r="G44" s="169">
        <v>6224.48</v>
      </c>
      <c r="H44" s="239">
        <v>6224.48</v>
      </c>
      <c r="I44" s="232">
        <v>5225</v>
      </c>
      <c r="J44" s="172">
        <v>0</v>
      </c>
      <c r="K44" s="234">
        <v>275</v>
      </c>
      <c r="L44" s="164">
        <f t="shared" si="8"/>
        <v>5500</v>
      </c>
      <c r="M44" s="228">
        <f t="shared" si="6"/>
        <v>109.06206623041841</v>
      </c>
      <c r="N44" s="167">
        <f t="shared" si="7"/>
        <v>88.360794797316416</v>
      </c>
    </row>
    <row r="45" spans="1:14" s="20" customFormat="1" ht="29.25" customHeight="1" x14ac:dyDescent="0.2">
      <c r="A45" s="1461">
        <v>4359</v>
      </c>
      <c r="B45" s="1483" t="s">
        <v>476</v>
      </c>
      <c r="C45" s="1484"/>
      <c r="D45" s="443">
        <v>2281</v>
      </c>
      <c r="E45" s="919">
        <v>1553.4</v>
      </c>
      <c r="F45" s="494">
        <v>2281</v>
      </c>
      <c r="G45" s="370">
        <v>1848.5</v>
      </c>
      <c r="H45" s="512">
        <v>1746.5</v>
      </c>
      <c r="I45" s="496">
        <v>1989</v>
      </c>
      <c r="J45" s="484">
        <v>178</v>
      </c>
      <c r="K45" s="513">
        <v>114</v>
      </c>
      <c r="L45" s="373">
        <f t="shared" ref="L45:L49" si="10">SUM(I45:K45)</f>
        <v>2281</v>
      </c>
      <c r="M45" s="408">
        <f t="shared" si="6"/>
        <v>100</v>
      </c>
      <c r="N45" s="385">
        <f t="shared" si="7"/>
        <v>123.39734920205572</v>
      </c>
    </row>
    <row r="46" spans="1:14" s="143" customFormat="1" ht="15" customHeight="1" x14ac:dyDescent="0.2">
      <c r="A46" s="1462"/>
      <c r="B46" s="1491" t="s">
        <v>133</v>
      </c>
      <c r="C46" s="180" t="s">
        <v>208</v>
      </c>
      <c r="D46" s="230">
        <v>661</v>
      </c>
      <c r="E46" s="918">
        <v>301.10000000000002</v>
      </c>
      <c r="F46" s="232">
        <v>661</v>
      </c>
      <c r="G46" s="169">
        <v>365.5</v>
      </c>
      <c r="H46" s="233">
        <v>365.5</v>
      </c>
      <c r="I46" s="171">
        <v>628</v>
      </c>
      <c r="J46" s="172">
        <v>0</v>
      </c>
      <c r="K46" s="234">
        <v>33</v>
      </c>
      <c r="L46" s="164">
        <f t="shared" si="10"/>
        <v>661</v>
      </c>
      <c r="M46" s="228">
        <f t="shared" si="6"/>
        <v>100</v>
      </c>
      <c r="N46" s="167">
        <f t="shared" si="7"/>
        <v>180.84815321477427</v>
      </c>
    </row>
    <row r="47" spans="1:14" s="143" customFormat="1" ht="15" customHeight="1" x14ac:dyDescent="0.2">
      <c r="A47" s="1462"/>
      <c r="B47" s="1502"/>
      <c r="C47" s="180" t="s">
        <v>209</v>
      </c>
      <c r="D47" s="230">
        <v>1483</v>
      </c>
      <c r="E47" s="918">
        <v>1252.3</v>
      </c>
      <c r="F47" s="232">
        <v>1483</v>
      </c>
      <c r="G47" s="169">
        <v>1483</v>
      </c>
      <c r="H47" s="233">
        <v>1381</v>
      </c>
      <c r="I47" s="171">
        <v>1231</v>
      </c>
      <c r="J47" s="172">
        <v>178</v>
      </c>
      <c r="K47" s="234">
        <v>74</v>
      </c>
      <c r="L47" s="164">
        <f t="shared" si="10"/>
        <v>1483</v>
      </c>
      <c r="M47" s="228">
        <f t="shared" si="6"/>
        <v>100</v>
      </c>
      <c r="N47" s="167">
        <f t="shared" si="7"/>
        <v>100</v>
      </c>
    </row>
    <row r="48" spans="1:14" s="143" customFormat="1" ht="15" customHeight="1" x14ac:dyDescent="0.2">
      <c r="A48" s="1463"/>
      <c r="B48" s="1492"/>
      <c r="C48" s="180" t="s">
        <v>210</v>
      </c>
      <c r="D48" s="230">
        <v>137</v>
      </c>
      <c r="E48" s="918">
        <v>0</v>
      </c>
      <c r="F48" s="232">
        <v>137</v>
      </c>
      <c r="G48" s="169">
        <v>0</v>
      </c>
      <c r="H48" s="233">
        <v>0</v>
      </c>
      <c r="I48" s="171">
        <v>130</v>
      </c>
      <c r="J48" s="172">
        <v>0</v>
      </c>
      <c r="K48" s="234">
        <v>7</v>
      </c>
      <c r="L48" s="164">
        <f t="shared" si="10"/>
        <v>137</v>
      </c>
      <c r="M48" s="228">
        <f t="shared" si="6"/>
        <v>100</v>
      </c>
      <c r="N48" s="167" t="s">
        <v>71</v>
      </c>
    </row>
    <row r="49" spans="1:14" s="20" customFormat="1" ht="29.25" customHeight="1" x14ac:dyDescent="0.2">
      <c r="A49" s="416">
        <v>4369</v>
      </c>
      <c r="B49" s="1483" t="s">
        <v>267</v>
      </c>
      <c r="C49" s="1484"/>
      <c r="D49" s="443">
        <v>200</v>
      </c>
      <c r="E49" s="919">
        <v>0</v>
      </c>
      <c r="F49" s="494">
        <v>200</v>
      </c>
      <c r="G49" s="370">
        <v>200</v>
      </c>
      <c r="H49" s="512">
        <v>0</v>
      </c>
      <c r="I49" s="496">
        <v>0</v>
      </c>
      <c r="J49" s="484">
        <v>0</v>
      </c>
      <c r="K49" s="513">
        <v>200</v>
      </c>
      <c r="L49" s="373">
        <f t="shared" si="10"/>
        <v>200</v>
      </c>
      <c r="M49" s="408">
        <f t="shared" si="6"/>
        <v>100</v>
      </c>
      <c r="N49" s="385">
        <f t="shared" si="7"/>
        <v>100</v>
      </c>
    </row>
    <row r="50" spans="1:14" s="20" customFormat="1" ht="29.25" customHeight="1" x14ac:dyDescent="0.2">
      <c r="A50" s="1461">
        <v>4374</v>
      </c>
      <c r="B50" s="1483" t="s">
        <v>268</v>
      </c>
      <c r="C50" s="1484"/>
      <c r="D50" s="443">
        <v>3006</v>
      </c>
      <c r="E50" s="919">
        <v>524.9</v>
      </c>
      <c r="F50" s="494">
        <v>3006</v>
      </c>
      <c r="G50" s="370">
        <v>2069</v>
      </c>
      <c r="H50" s="512">
        <v>525</v>
      </c>
      <c r="I50" s="496">
        <v>2620</v>
      </c>
      <c r="J50" s="484">
        <v>235</v>
      </c>
      <c r="K50" s="513">
        <v>151</v>
      </c>
      <c r="L50" s="373">
        <f t="shared" ref="L50:L65" si="11">SUM(I50:K50)</f>
        <v>3006</v>
      </c>
      <c r="M50" s="408">
        <f t="shared" si="6"/>
        <v>100</v>
      </c>
      <c r="N50" s="385">
        <f t="shared" si="7"/>
        <v>145.28757854035766</v>
      </c>
    </row>
    <row r="51" spans="1:14" s="143" customFormat="1" ht="15" customHeight="1" x14ac:dyDescent="0.2">
      <c r="A51" s="1462"/>
      <c r="B51" s="1491" t="s">
        <v>133</v>
      </c>
      <c r="C51" s="180" t="s">
        <v>208</v>
      </c>
      <c r="D51" s="230">
        <v>872</v>
      </c>
      <c r="E51" s="918">
        <v>113.4</v>
      </c>
      <c r="F51" s="232">
        <v>872</v>
      </c>
      <c r="G51" s="169">
        <v>115</v>
      </c>
      <c r="H51" s="233">
        <v>115</v>
      </c>
      <c r="I51" s="171">
        <v>828</v>
      </c>
      <c r="J51" s="172">
        <v>0</v>
      </c>
      <c r="K51" s="234">
        <v>44</v>
      </c>
      <c r="L51" s="164">
        <f t="shared" si="11"/>
        <v>872</v>
      </c>
      <c r="M51" s="228">
        <f t="shared" si="6"/>
        <v>100</v>
      </c>
      <c r="N51" s="167">
        <f t="shared" si="7"/>
        <v>758.26086956521738</v>
      </c>
    </row>
    <row r="52" spans="1:14" s="143" customFormat="1" ht="15" customHeight="1" x14ac:dyDescent="0.2">
      <c r="A52" s="1462"/>
      <c r="B52" s="1502"/>
      <c r="C52" s="180" t="s">
        <v>209</v>
      </c>
      <c r="D52" s="230">
        <v>1954</v>
      </c>
      <c r="E52" s="918">
        <v>411.5</v>
      </c>
      <c r="F52" s="232">
        <v>1954</v>
      </c>
      <c r="G52" s="169">
        <v>1954</v>
      </c>
      <c r="H52" s="233">
        <v>410</v>
      </c>
      <c r="I52" s="171">
        <v>1621</v>
      </c>
      <c r="J52" s="172">
        <v>235</v>
      </c>
      <c r="K52" s="234">
        <v>98</v>
      </c>
      <c r="L52" s="164">
        <f t="shared" si="11"/>
        <v>1954</v>
      </c>
      <c r="M52" s="228">
        <f t="shared" si="6"/>
        <v>100</v>
      </c>
      <c r="N52" s="167">
        <f t="shared" si="7"/>
        <v>100</v>
      </c>
    </row>
    <row r="53" spans="1:14" s="143" customFormat="1" ht="15" customHeight="1" x14ac:dyDescent="0.2">
      <c r="A53" s="1463"/>
      <c r="B53" s="1492"/>
      <c r="C53" s="180" t="s">
        <v>210</v>
      </c>
      <c r="D53" s="230">
        <v>180</v>
      </c>
      <c r="E53" s="918">
        <v>0</v>
      </c>
      <c r="F53" s="232">
        <v>180</v>
      </c>
      <c r="G53" s="169">
        <v>0</v>
      </c>
      <c r="H53" s="233">
        <v>0</v>
      </c>
      <c r="I53" s="171">
        <v>171</v>
      </c>
      <c r="J53" s="172">
        <v>0</v>
      </c>
      <c r="K53" s="234">
        <v>9</v>
      </c>
      <c r="L53" s="164">
        <f t="shared" si="11"/>
        <v>180</v>
      </c>
      <c r="M53" s="228">
        <f t="shared" si="6"/>
        <v>100</v>
      </c>
      <c r="N53" s="167" t="s">
        <v>71</v>
      </c>
    </row>
    <row r="54" spans="1:14" s="20" customFormat="1" ht="45" customHeight="1" x14ac:dyDescent="0.2">
      <c r="A54" s="1461">
        <v>4376</v>
      </c>
      <c r="B54" s="1483" t="s">
        <v>269</v>
      </c>
      <c r="C54" s="1484"/>
      <c r="D54" s="443">
        <v>997</v>
      </c>
      <c r="E54" s="919">
        <v>3213.18</v>
      </c>
      <c r="F54" s="494">
        <v>997</v>
      </c>
      <c r="G54" s="370">
        <v>2994</v>
      </c>
      <c r="H54" s="512">
        <v>2994</v>
      </c>
      <c r="I54" s="496">
        <v>3022</v>
      </c>
      <c r="J54" s="484">
        <v>276</v>
      </c>
      <c r="K54" s="513">
        <v>153</v>
      </c>
      <c r="L54" s="373">
        <f t="shared" si="11"/>
        <v>3451</v>
      </c>
      <c r="M54" s="408">
        <f t="shared" si="6"/>
        <v>346.13841524573724</v>
      </c>
      <c r="N54" s="385">
        <f t="shared" si="7"/>
        <v>115.26386105544421</v>
      </c>
    </row>
    <row r="55" spans="1:14" s="143" customFormat="1" ht="15" customHeight="1" x14ac:dyDescent="0.2">
      <c r="A55" s="1462"/>
      <c r="B55" s="1491" t="s">
        <v>133</v>
      </c>
      <c r="C55" s="180" t="s">
        <v>208</v>
      </c>
      <c r="D55" s="230">
        <v>289</v>
      </c>
      <c r="E55" s="918">
        <v>913.18</v>
      </c>
      <c r="F55" s="232">
        <v>289</v>
      </c>
      <c r="G55" s="169">
        <v>714</v>
      </c>
      <c r="H55" s="233">
        <v>714</v>
      </c>
      <c r="I55" s="171">
        <v>665</v>
      </c>
      <c r="J55" s="172">
        <v>0</v>
      </c>
      <c r="K55" s="234">
        <v>35</v>
      </c>
      <c r="L55" s="164">
        <f t="shared" si="11"/>
        <v>700</v>
      </c>
      <c r="M55" s="228">
        <f t="shared" si="6"/>
        <v>242.2145328719723</v>
      </c>
      <c r="N55" s="167">
        <f t="shared" si="7"/>
        <v>98.039215686274503</v>
      </c>
    </row>
    <row r="56" spans="1:14" s="143" customFormat="1" ht="15" customHeight="1" x14ac:dyDescent="0.2">
      <c r="A56" s="1462"/>
      <c r="B56" s="1502"/>
      <c r="C56" s="180" t="s">
        <v>209</v>
      </c>
      <c r="D56" s="230">
        <v>648</v>
      </c>
      <c r="E56" s="918">
        <v>2300</v>
      </c>
      <c r="F56" s="232">
        <v>648</v>
      </c>
      <c r="G56" s="169">
        <v>2270</v>
      </c>
      <c r="H56" s="233">
        <v>2270</v>
      </c>
      <c r="I56" s="171">
        <v>2300</v>
      </c>
      <c r="J56" s="172">
        <v>276</v>
      </c>
      <c r="K56" s="234">
        <v>115</v>
      </c>
      <c r="L56" s="164">
        <f t="shared" si="11"/>
        <v>2691</v>
      </c>
      <c r="M56" s="228">
        <f t="shared" si="6"/>
        <v>415.27777777777777</v>
      </c>
      <c r="N56" s="167">
        <f t="shared" si="7"/>
        <v>118.54625550660793</v>
      </c>
    </row>
    <row r="57" spans="1:14" s="143" customFormat="1" ht="15" customHeight="1" x14ac:dyDescent="0.2">
      <c r="A57" s="1463"/>
      <c r="B57" s="1492"/>
      <c r="C57" s="180" t="s">
        <v>210</v>
      </c>
      <c r="D57" s="230">
        <v>60</v>
      </c>
      <c r="E57" s="918">
        <v>0</v>
      </c>
      <c r="F57" s="232">
        <v>60</v>
      </c>
      <c r="G57" s="169">
        <v>10</v>
      </c>
      <c r="H57" s="233">
        <v>10</v>
      </c>
      <c r="I57" s="171">
        <v>57</v>
      </c>
      <c r="J57" s="172">
        <v>0</v>
      </c>
      <c r="K57" s="234">
        <v>3</v>
      </c>
      <c r="L57" s="164">
        <f t="shared" si="11"/>
        <v>60</v>
      </c>
      <c r="M57" s="228">
        <f t="shared" si="6"/>
        <v>100</v>
      </c>
      <c r="N57" s="167">
        <f t="shared" si="7"/>
        <v>600</v>
      </c>
    </row>
    <row r="58" spans="1:14" s="20" customFormat="1" ht="29.25" customHeight="1" x14ac:dyDescent="0.2">
      <c r="A58" s="1461">
        <v>4377</v>
      </c>
      <c r="B58" s="1483" t="s">
        <v>270</v>
      </c>
      <c r="C58" s="1484"/>
      <c r="D58" s="443">
        <v>891</v>
      </c>
      <c r="E58" s="919">
        <v>1710.5</v>
      </c>
      <c r="F58" s="494">
        <v>891</v>
      </c>
      <c r="G58" s="370">
        <v>984.8</v>
      </c>
      <c r="H58" s="512">
        <v>984.8</v>
      </c>
      <c r="I58" s="496">
        <v>1043</v>
      </c>
      <c r="J58" s="484">
        <v>108</v>
      </c>
      <c r="K58" s="513">
        <v>61</v>
      </c>
      <c r="L58" s="373">
        <f t="shared" si="11"/>
        <v>1212</v>
      </c>
      <c r="M58" s="408">
        <f t="shared" si="6"/>
        <v>136.02693602693603</v>
      </c>
      <c r="N58" s="385">
        <f t="shared" si="7"/>
        <v>123.0706742485784</v>
      </c>
    </row>
    <row r="59" spans="1:14" s="143" customFormat="1" ht="15" customHeight="1" x14ac:dyDescent="0.2">
      <c r="A59" s="1462"/>
      <c r="B59" s="1491" t="s">
        <v>133</v>
      </c>
      <c r="C59" s="180" t="s">
        <v>208</v>
      </c>
      <c r="D59" s="230">
        <v>258</v>
      </c>
      <c r="E59" s="918">
        <v>600</v>
      </c>
      <c r="F59" s="232">
        <v>258</v>
      </c>
      <c r="G59" s="169">
        <v>79</v>
      </c>
      <c r="H59" s="233">
        <v>79</v>
      </c>
      <c r="I59" s="171">
        <v>245</v>
      </c>
      <c r="J59" s="172">
        <v>0</v>
      </c>
      <c r="K59" s="234">
        <v>13</v>
      </c>
      <c r="L59" s="164">
        <f t="shared" si="11"/>
        <v>258</v>
      </c>
      <c r="M59" s="228">
        <f t="shared" si="6"/>
        <v>100</v>
      </c>
      <c r="N59" s="167">
        <f t="shared" si="7"/>
        <v>326.58227848101268</v>
      </c>
    </row>
    <row r="60" spans="1:14" s="143" customFormat="1" ht="15" customHeight="1" x14ac:dyDescent="0.2">
      <c r="A60" s="1462"/>
      <c r="B60" s="1502"/>
      <c r="C60" s="180" t="s">
        <v>209</v>
      </c>
      <c r="D60" s="230">
        <v>579</v>
      </c>
      <c r="E60" s="918">
        <v>1110.5</v>
      </c>
      <c r="F60" s="232">
        <v>579</v>
      </c>
      <c r="G60" s="169">
        <v>905.8</v>
      </c>
      <c r="H60" s="233">
        <v>905.8</v>
      </c>
      <c r="I60" s="171">
        <v>747</v>
      </c>
      <c r="J60" s="172">
        <v>108</v>
      </c>
      <c r="K60" s="234">
        <v>45</v>
      </c>
      <c r="L60" s="164">
        <f t="shared" si="11"/>
        <v>900</v>
      </c>
      <c r="M60" s="228">
        <f t="shared" si="6"/>
        <v>155.440414507772</v>
      </c>
      <c r="N60" s="167">
        <f t="shared" si="7"/>
        <v>99.359682049017451</v>
      </c>
    </row>
    <row r="61" spans="1:14" s="143" customFormat="1" ht="15" customHeight="1" x14ac:dyDescent="0.2">
      <c r="A61" s="1463"/>
      <c r="B61" s="1492"/>
      <c r="C61" s="180" t="s">
        <v>210</v>
      </c>
      <c r="D61" s="230">
        <v>54</v>
      </c>
      <c r="E61" s="918">
        <v>0</v>
      </c>
      <c r="F61" s="232">
        <v>54</v>
      </c>
      <c r="G61" s="169">
        <v>0</v>
      </c>
      <c r="H61" s="233">
        <v>0</v>
      </c>
      <c r="I61" s="171">
        <v>51</v>
      </c>
      <c r="J61" s="172">
        <v>0</v>
      </c>
      <c r="K61" s="234">
        <v>3</v>
      </c>
      <c r="L61" s="164">
        <f t="shared" si="11"/>
        <v>54</v>
      </c>
      <c r="M61" s="228">
        <f t="shared" si="6"/>
        <v>100</v>
      </c>
      <c r="N61" s="167" t="s">
        <v>71</v>
      </c>
    </row>
    <row r="62" spans="1:14" s="20" customFormat="1" ht="31.5" customHeight="1" x14ac:dyDescent="0.2">
      <c r="A62" s="1461">
        <v>4378</v>
      </c>
      <c r="B62" s="1483" t="s">
        <v>271</v>
      </c>
      <c r="C62" s="1484"/>
      <c r="D62" s="443">
        <v>86</v>
      </c>
      <c r="E62" s="919">
        <v>572.1</v>
      </c>
      <c r="F62" s="494">
        <v>86</v>
      </c>
      <c r="G62" s="370">
        <v>630</v>
      </c>
      <c r="H62" s="512">
        <v>630</v>
      </c>
      <c r="I62" s="496">
        <v>552</v>
      </c>
      <c r="J62" s="484">
        <v>46</v>
      </c>
      <c r="K62" s="513">
        <v>32</v>
      </c>
      <c r="L62" s="373">
        <f t="shared" si="11"/>
        <v>630</v>
      </c>
      <c r="M62" s="408">
        <f t="shared" si="6"/>
        <v>732.55813953488371</v>
      </c>
      <c r="N62" s="385">
        <f t="shared" si="7"/>
        <v>100</v>
      </c>
    </row>
    <row r="63" spans="1:14" s="143" customFormat="1" ht="15" customHeight="1" x14ac:dyDescent="0.2">
      <c r="A63" s="1462"/>
      <c r="B63" s="1491" t="s">
        <v>133</v>
      </c>
      <c r="C63" s="180" t="s">
        <v>208</v>
      </c>
      <c r="D63" s="230">
        <v>25</v>
      </c>
      <c r="E63" s="918">
        <v>184.3</v>
      </c>
      <c r="F63" s="232">
        <v>25</v>
      </c>
      <c r="G63" s="169">
        <v>220</v>
      </c>
      <c r="H63" s="233">
        <v>220</v>
      </c>
      <c r="I63" s="171">
        <v>209</v>
      </c>
      <c r="J63" s="172">
        <v>0</v>
      </c>
      <c r="K63" s="234">
        <v>11</v>
      </c>
      <c r="L63" s="164">
        <f t="shared" si="11"/>
        <v>220</v>
      </c>
      <c r="M63" s="228">
        <f t="shared" si="6"/>
        <v>880.00000000000011</v>
      </c>
      <c r="N63" s="167">
        <f t="shared" si="7"/>
        <v>100</v>
      </c>
    </row>
    <row r="64" spans="1:14" s="143" customFormat="1" ht="15" customHeight="1" x14ac:dyDescent="0.2">
      <c r="A64" s="1462"/>
      <c r="B64" s="1502"/>
      <c r="C64" s="180" t="s">
        <v>209</v>
      </c>
      <c r="D64" s="230">
        <v>56</v>
      </c>
      <c r="E64" s="918">
        <v>387.8</v>
      </c>
      <c r="F64" s="232">
        <v>56</v>
      </c>
      <c r="G64" s="169">
        <v>380</v>
      </c>
      <c r="H64" s="233">
        <v>380</v>
      </c>
      <c r="I64" s="171">
        <v>315</v>
      </c>
      <c r="J64" s="172">
        <v>46</v>
      </c>
      <c r="K64" s="234">
        <v>19</v>
      </c>
      <c r="L64" s="164">
        <f t="shared" si="11"/>
        <v>380</v>
      </c>
      <c r="M64" s="228">
        <f t="shared" si="6"/>
        <v>678.57142857142856</v>
      </c>
      <c r="N64" s="167">
        <f t="shared" si="7"/>
        <v>100</v>
      </c>
    </row>
    <row r="65" spans="1:15" s="143" customFormat="1" ht="15" customHeight="1" x14ac:dyDescent="0.2">
      <c r="A65" s="1463"/>
      <c r="B65" s="1492"/>
      <c r="C65" s="180" t="s">
        <v>210</v>
      </c>
      <c r="D65" s="230">
        <v>5</v>
      </c>
      <c r="E65" s="918">
        <v>0</v>
      </c>
      <c r="F65" s="232">
        <v>5</v>
      </c>
      <c r="G65" s="169">
        <v>30</v>
      </c>
      <c r="H65" s="233">
        <v>30</v>
      </c>
      <c r="I65" s="171">
        <v>28</v>
      </c>
      <c r="J65" s="172">
        <v>0</v>
      </c>
      <c r="K65" s="234">
        <v>2</v>
      </c>
      <c r="L65" s="164">
        <f t="shared" si="11"/>
        <v>30</v>
      </c>
      <c r="M65" s="228">
        <f t="shared" si="6"/>
        <v>600</v>
      </c>
      <c r="N65" s="167">
        <f t="shared" si="7"/>
        <v>100</v>
      </c>
    </row>
    <row r="66" spans="1:15" s="20" customFormat="1" ht="29.25" customHeight="1" x14ac:dyDescent="0.2">
      <c r="A66" s="1461">
        <v>4379</v>
      </c>
      <c r="B66" s="1483" t="s">
        <v>272</v>
      </c>
      <c r="C66" s="1484"/>
      <c r="D66" s="443">
        <v>254</v>
      </c>
      <c r="E66" s="919">
        <v>2024.7</v>
      </c>
      <c r="F66" s="494">
        <v>254</v>
      </c>
      <c r="G66" s="370">
        <v>2110.1</v>
      </c>
      <c r="H66" s="512">
        <v>2110.1</v>
      </c>
      <c r="I66" s="496">
        <v>1886</v>
      </c>
      <c r="J66" s="484">
        <v>156</v>
      </c>
      <c r="K66" s="513">
        <v>108</v>
      </c>
      <c r="L66" s="373">
        <f t="shared" ref="L66:L72" si="12">SUM(I66:K66)</f>
        <v>2150</v>
      </c>
      <c r="M66" s="408">
        <f t="shared" si="6"/>
        <v>846.45669291338572</v>
      </c>
      <c r="N66" s="385">
        <f t="shared" si="7"/>
        <v>101.89090564428227</v>
      </c>
    </row>
    <row r="67" spans="1:15" s="143" customFormat="1" ht="15" customHeight="1" x14ac:dyDescent="0.2">
      <c r="A67" s="1462"/>
      <c r="B67" s="1491" t="s">
        <v>133</v>
      </c>
      <c r="C67" s="180" t="s">
        <v>208</v>
      </c>
      <c r="D67" s="230">
        <v>74</v>
      </c>
      <c r="E67" s="918">
        <v>769</v>
      </c>
      <c r="F67" s="232">
        <v>74</v>
      </c>
      <c r="G67" s="169">
        <v>779.5</v>
      </c>
      <c r="H67" s="233">
        <v>779.5</v>
      </c>
      <c r="I67" s="171">
        <v>760</v>
      </c>
      <c r="J67" s="172">
        <v>0</v>
      </c>
      <c r="K67" s="234">
        <v>40</v>
      </c>
      <c r="L67" s="164">
        <f t="shared" si="12"/>
        <v>800</v>
      </c>
      <c r="M67" s="228">
        <f t="shared" si="6"/>
        <v>1081.081081081081</v>
      </c>
      <c r="N67" s="167">
        <f t="shared" si="7"/>
        <v>102.62989095574086</v>
      </c>
    </row>
    <row r="68" spans="1:15" s="143" customFormat="1" ht="15" customHeight="1" x14ac:dyDescent="0.2">
      <c r="A68" s="1462"/>
      <c r="B68" s="1502"/>
      <c r="C68" s="180" t="s">
        <v>209</v>
      </c>
      <c r="D68" s="230">
        <v>165</v>
      </c>
      <c r="E68" s="918">
        <v>1155.7</v>
      </c>
      <c r="F68" s="232">
        <v>165</v>
      </c>
      <c r="G68" s="169">
        <v>1280.5999999999999</v>
      </c>
      <c r="H68" s="233">
        <v>1280.5999999999999</v>
      </c>
      <c r="I68" s="171">
        <v>1079</v>
      </c>
      <c r="J68" s="172">
        <v>156</v>
      </c>
      <c r="K68" s="234">
        <v>65</v>
      </c>
      <c r="L68" s="164">
        <f t="shared" si="12"/>
        <v>1300</v>
      </c>
      <c r="M68" s="228">
        <f t="shared" si="6"/>
        <v>787.87878787878788</v>
      </c>
      <c r="N68" s="167">
        <f t="shared" si="7"/>
        <v>101.5149148836483</v>
      </c>
    </row>
    <row r="69" spans="1:15" s="143" customFormat="1" ht="15" customHeight="1" x14ac:dyDescent="0.2">
      <c r="A69" s="1463"/>
      <c r="B69" s="1492"/>
      <c r="C69" s="180" t="s">
        <v>210</v>
      </c>
      <c r="D69" s="230">
        <v>15</v>
      </c>
      <c r="E69" s="918">
        <v>100</v>
      </c>
      <c r="F69" s="232">
        <v>15</v>
      </c>
      <c r="G69" s="169">
        <v>50</v>
      </c>
      <c r="H69" s="233">
        <v>50</v>
      </c>
      <c r="I69" s="171">
        <v>47</v>
      </c>
      <c r="J69" s="172">
        <v>0</v>
      </c>
      <c r="K69" s="234">
        <v>3</v>
      </c>
      <c r="L69" s="164">
        <f t="shared" si="12"/>
        <v>50</v>
      </c>
      <c r="M69" s="228">
        <f t="shared" si="6"/>
        <v>333.33333333333337</v>
      </c>
      <c r="N69" s="167">
        <f t="shared" si="7"/>
        <v>100</v>
      </c>
    </row>
    <row r="70" spans="1:15" s="143" customFormat="1" ht="30" customHeight="1" x14ac:dyDescent="0.2">
      <c r="A70" s="1461">
        <v>4399</v>
      </c>
      <c r="B70" s="1483" t="s">
        <v>478</v>
      </c>
      <c r="C70" s="1484"/>
      <c r="D70" s="663">
        <v>0</v>
      </c>
      <c r="E70" s="920">
        <v>0</v>
      </c>
      <c r="F70" s="665">
        <v>0</v>
      </c>
      <c r="G70" s="666">
        <v>15215.67</v>
      </c>
      <c r="H70" s="667">
        <v>0</v>
      </c>
      <c r="I70" s="726">
        <v>0</v>
      </c>
      <c r="J70" s="727">
        <v>0</v>
      </c>
      <c r="K70" s="898">
        <v>0</v>
      </c>
      <c r="L70" s="156">
        <f t="shared" si="12"/>
        <v>0</v>
      </c>
      <c r="M70" s="157" t="s">
        <v>71</v>
      </c>
      <c r="N70" s="158">
        <f t="shared" si="7"/>
        <v>0</v>
      </c>
    </row>
    <row r="71" spans="1:15" s="143" customFormat="1" ht="15" customHeight="1" x14ac:dyDescent="0.2">
      <c r="A71" s="1463"/>
      <c r="B71" s="954" t="s">
        <v>133</v>
      </c>
      <c r="C71" s="180" t="s">
        <v>209</v>
      </c>
      <c r="D71" s="230">
        <v>0</v>
      </c>
      <c r="E71" s="918">
        <v>0</v>
      </c>
      <c r="F71" s="232">
        <v>0</v>
      </c>
      <c r="G71" s="169">
        <v>15215.67</v>
      </c>
      <c r="H71" s="233">
        <v>0</v>
      </c>
      <c r="I71" s="171">
        <v>0</v>
      </c>
      <c r="J71" s="172">
        <v>0</v>
      </c>
      <c r="K71" s="234">
        <v>0</v>
      </c>
      <c r="L71" s="164">
        <f t="shared" si="12"/>
        <v>0</v>
      </c>
      <c r="M71" s="228" t="s">
        <v>71</v>
      </c>
      <c r="N71" s="167">
        <f t="shared" si="7"/>
        <v>0</v>
      </c>
    </row>
    <row r="72" spans="1:15" s="20" customFormat="1" ht="29.25" customHeight="1" x14ac:dyDescent="0.2">
      <c r="A72" s="416">
        <v>4399</v>
      </c>
      <c r="B72" s="1483" t="s">
        <v>273</v>
      </c>
      <c r="C72" s="1484"/>
      <c r="D72" s="443">
        <v>5980</v>
      </c>
      <c r="E72" s="919">
        <v>2261.4899999999998</v>
      </c>
      <c r="F72" s="494">
        <v>3480</v>
      </c>
      <c r="G72" s="370">
        <v>32333.7</v>
      </c>
      <c r="H72" s="512">
        <v>5417.91</v>
      </c>
      <c r="I72" s="496">
        <v>0</v>
      </c>
      <c r="J72" s="484">
        <v>120</v>
      </c>
      <c r="K72" s="513">
        <v>3360</v>
      </c>
      <c r="L72" s="373">
        <f t="shared" si="12"/>
        <v>3480</v>
      </c>
      <c r="M72" s="408">
        <f t="shared" si="6"/>
        <v>100</v>
      </c>
      <c r="N72" s="385">
        <f t="shared" si="7"/>
        <v>10.762764545969066</v>
      </c>
    </row>
    <row r="73" spans="1:15" s="20" customFormat="1" ht="29.25" customHeight="1" x14ac:dyDescent="0.2">
      <c r="A73" s="416">
        <v>4399</v>
      </c>
      <c r="B73" s="1483" t="s">
        <v>274</v>
      </c>
      <c r="C73" s="1484"/>
      <c r="D73" s="443">
        <v>0</v>
      </c>
      <c r="E73" s="919">
        <v>0</v>
      </c>
      <c r="F73" s="494">
        <v>2500</v>
      </c>
      <c r="G73" s="370">
        <v>2500</v>
      </c>
      <c r="H73" s="512">
        <v>957</v>
      </c>
      <c r="I73" s="496">
        <v>2500</v>
      </c>
      <c r="J73" s="484">
        <v>0</v>
      </c>
      <c r="K73" s="513">
        <v>0</v>
      </c>
      <c r="L73" s="373">
        <f t="shared" ref="L73:L77" si="13">SUM(I73:K73)</f>
        <v>2500</v>
      </c>
      <c r="M73" s="408">
        <f t="shared" si="6"/>
        <v>100</v>
      </c>
      <c r="N73" s="385">
        <f t="shared" si="7"/>
        <v>100</v>
      </c>
    </row>
    <row r="74" spans="1:15" s="20" customFormat="1" ht="29.25" customHeight="1" x14ac:dyDescent="0.2">
      <c r="A74" s="846">
        <v>4350</v>
      </c>
      <c r="B74" s="1483" t="s">
        <v>408</v>
      </c>
      <c r="C74" s="1484"/>
      <c r="D74" s="443">
        <v>0</v>
      </c>
      <c r="E74" s="919">
        <v>0</v>
      </c>
      <c r="F74" s="494">
        <v>0</v>
      </c>
      <c r="G74" s="370">
        <v>58.14</v>
      </c>
      <c r="H74" s="512">
        <v>58.14</v>
      </c>
      <c r="I74" s="496">
        <v>0</v>
      </c>
      <c r="J74" s="484">
        <v>0</v>
      </c>
      <c r="K74" s="513">
        <v>0</v>
      </c>
      <c r="L74" s="373">
        <f t="shared" ref="L74" si="14">SUM(I74:K74)</f>
        <v>0</v>
      </c>
      <c r="M74" s="408" t="s">
        <v>159</v>
      </c>
      <c r="N74" s="385">
        <f t="shared" ref="N74" si="15">L74/G74*100</f>
        <v>0</v>
      </c>
    </row>
    <row r="75" spans="1:15" s="20" customFormat="1" ht="15" customHeight="1" x14ac:dyDescent="0.2">
      <c r="A75" s="1461">
        <v>4399</v>
      </c>
      <c r="B75" s="1483" t="s">
        <v>275</v>
      </c>
      <c r="C75" s="1484"/>
      <c r="D75" s="443">
        <v>25000</v>
      </c>
      <c r="E75" s="919">
        <v>3263.14</v>
      </c>
      <c r="F75" s="494">
        <v>25000</v>
      </c>
      <c r="G75" s="370">
        <v>15565.56</v>
      </c>
      <c r="H75" s="512">
        <v>2419.5500000000002</v>
      </c>
      <c r="I75" s="496">
        <v>14700</v>
      </c>
      <c r="J75" s="484">
        <v>4600</v>
      </c>
      <c r="K75" s="513">
        <v>5700</v>
      </c>
      <c r="L75" s="373">
        <f t="shared" si="13"/>
        <v>25000</v>
      </c>
      <c r="M75" s="408">
        <f t="shared" si="6"/>
        <v>100</v>
      </c>
      <c r="N75" s="385">
        <f t="shared" si="7"/>
        <v>160.61098990335074</v>
      </c>
    </row>
    <row r="76" spans="1:15" s="143" customFormat="1" ht="15" customHeight="1" x14ac:dyDescent="0.2">
      <c r="A76" s="1463"/>
      <c r="B76" s="207" t="s">
        <v>133</v>
      </c>
      <c r="C76" s="180" t="s">
        <v>214</v>
      </c>
      <c r="D76" s="230">
        <v>25000</v>
      </c>
      <c r="E76" s="918">
        <f>2562.24+700.9</f>
        <v>3263.14</v>
      </c>
      <c r="F76" s="232">
        <v>25000</v>
      </c>
      <c r="G76" s="169">
        <v>15565.56</v>
      </c>
      <c r="H76" s="233">
        <v>2419.5500000000002</v>
      </c>
      <c r="I76" s="171">
        <v>14700</v>
      </c>
      <c r="J76" s="172">
        <v>4600</v>
      </c>
      <c r="K76" s="234">
        <v>5700</v>
      </c>
      <c r="L76" s="156">
        <f t="shared" si="13"/>
        <v>25000</v>
      </c>
      <c r="M76" s="228">
        <f t="shared" si="6"/>
        <v>100</v>
      </c>
      <c r="N76" s="167">
        <f t="shared" si="7"/>
        <v>160.61098990335074</v>
      </c>
    </row>
    <row r="77" spans="1:15" s="20" customFormat="1" ht="15" customHeight="1" thickBot="1" x14ac:dyDescent="0.25">
      <c r="A77" s="416">
        <v>6402</v>
      </c>
      <c r="B77" s="1592" t="s">
        <v>276</v>
      </c>
      <c r="C77" s="1593"/>
      <c r="D77" s="443">
        <v>0</v>
      </c>
      <c r="E77" s="919">
        <v>4.79</v>
      </c>
      <c r="F77" s="494">
        <v>0</v>
      </c>
      <c r="G77" s="370">
        <v>3.66</v>
      </c>
      <c r="H77" s="512">
        <v>0</v>
      </c>
      <c r="I77" s="496">
        <v>0</v>
      </c>
      <c r="J77" s="484">
        <v>0</v>
      </c>
      <c r="K77" s="513">
        <v>0</v>
      </c>
      <c r="L77" s="373">
        <f t="shared" si="13"/>
        <v>0</v>
      </c>
      <c r="M77" s="408" t="s">
        <v>71</v>
      </c>
      <c r="N77" s="385">
        <f t="shared" si="7"/>
        <v>0</v>
      </c>
    </row>
    <row r="78" spans="1:15" s="22" customFormat="1" ht="20.100000000000001" customHeight="1" thickBot="1" x14ac:dyDescent="0.3">
      <c r="A78" s="963"/>
      <c r="B78" s="974" t="s">
        <v>99</v>
      </c>
      <c r="C78" s="975"/>
      <c r="D78" s="956">
        <f>D9+D13+D14+D15+D19+D20+D24+D28+D32+D36+D40+D41+D45+D49+D50+D54+D58+D62+D66+D72+D73+D75+D77</f>
        <v>322132</v>
      </c>
      <c r="E78" s="997">
        <f>+E9+E13+E14+E15+E19+E20+E24+E28+E32+E36+E40+E41+E45+E49+E50+E54+E58+E62+E66+E72+E73+E74+E75+E77</f>
        <v>331081.7</v>
      </c>
      <c r="F78" s="976">
        <f>F9+F13+F14+F15+F19+F20+F24+F28+F32+F36+F40+F41+F45+F49+F50+F54+F58+F62+F66+F72+F73+F75+F77</f>
        <v>326648</v>
      </c>
      <c r="G78" s="957">
        <f t="shared" ref="G78:L78" si="16">G9+G13+G14+G15+G19+G20+G24+G28+G32+G36+G40+G41+G45+G49+G50+G54+G58+G62+G66+G72+G73+G75+G77+G70+G74</f>
        <v>363429.05999999994</v>
      </c>
      <c r="H78" s="957">
        <f t="shared" si="16"/>
        <v>276800.63999999996</v>
      </c>
      <c r="I78" s="976">
        <f t="shared" si="16"/>
        <v>287918</v>
      </c>
      <c r="J78" s="976">
        <f t="shared" si="16"/>
        <v>29722</v>
      </c>
      <c r="K78" s="960">
        <f t="shared" si="16"/>
        <v>25608</v>
      </c>
      <c r="L78" s="221">
        <f t="shared" si="16"/>
        <v>343248</v>
      </c>
      <c r="M78" s="977">
        <f t="shared" ref="M78" si="17">L78/F78*100</f>
        <v>105.081923048664</v>
      </c>
      <c r="N78" s="962">
        <f t="shared" ref="N78" si="18">L78/G78*100</f>
        <v>94.447042842418838</v>
      </c>
      <c r="O78" s="21"/>
    </row>
    <row r="79" spans="1:15" ht="15" customHeight="1" x14ac:dyDescent="0.25">
      <c r="A79" s="151"/>
      <c r="B79" s="23"/>
      <c r="C79" s="23"/>
      <c r="D79" s="910"/>
      <c r="E79" s="909"/>
      <c r="F79" s="910"/>
      <c r="G79" s="913"/>
      <c r="H79" s="913"/>
      <c r="I79" s="237"/>
      <c r="J79" s="237"/>
      <c r="K79" s="237"/>
      <c r="L79" s="237"/>
      <c r="M79" s="28"/>
      <c r="N79" s="29"/>
      <c r="O79" s="19"/>
    </row>
    <row r="81" spans="4:13" s="1" customFormat="1" x14ac:dyDescent="0.2">
      <c r="D81" s="251"/>
      <c r="E81" s="251"/>
      <c r="F81" s="251"/>
      <c r="G81" s="251"/>
      <c r="H81" s="251"/>
      <c r="I81" s="251"/>
      <c r="J81" s="251"/>
      <c r="K81" s="251"/>
      <c r="L81" s="251"/>
      <c r="M81" s="252"/>
    </row>
    <row r="82" spans="4:13" s="1" customFormat="1" x14ac:dyDescent="0.2">
      <c r="D82" s="251"/>
      <c r="E82" s="251"/>
      <c r="F82" s="251"/>
      <c r="G82" s="251"/>
      <c r="H82" s="251"/>
      <c r="I82" s="251"/>
      <c r="J82" s="251"/>
      <c r="K82" s="251"/>
      <c r="L82" s="251"/>
      <c r="M82" s="924"/>
    </row>
    <row r="83" spans="4:13" s="1" customFormat="1" x14ac:dyDescent="0.2">
      <c r="D83" s="251"/>
      <c r="E83" s="251"/>
      <c r="F83" s="251"/>
      <c r="G83" s="251"/>
      <c r="H83" s="251"/>
      <c r="I83" s="251"/>
      <c r="J83" s="251"/>
      <c r="K83" s="251"/>
      <c r="L83" s="251"/>
      <c r="M83" s="924"/>
    </row>
    <row r="84" spans="4:13" s="1" customFormat="1" x14ac:dyDescent="0.2">
      <c r="D84" s="252"/>
      <c r="E84" s="251"/>
      <c r="F84" s="252"/>
      <c r="G84" s="251"/>
      <c r="H84" s="251"/>
      <c r="I84" s="252"/>
      <c r="J84" s="252"/>
      <c r="K84" s="252"/>
      <c r="L84" s="925"/>
      <c r="M84" s="924"/>
    </row>
    <row r="85" spans="4:13" s="1" customFormat="1" x14ac:dyDescent="0.2">
      <c r="D85" s="252"/>
      <c r="E85" s="251"/>
      <c r="F85" s="252"/>
      <c r="G85" s="251"/>
      <c r="H85" s="251"/>
      <c r="I85" s="252"/>
      <c r="J85" s="252"/>
      <c r="K85" s="252"/>
      <c r="L85" s="925"/>
      <c r="M85" s="924"/>
    </row>
  </sheetData>
  <mergeCells count="63">
    <mergeCell ref="B9:C9"/>
    <mergeCell ref="B14:C14"/>
    <mergeCell ref="B15:C15"/>
    <mergeCell ref="B19:C19"/>
    <mergeCell ref="B24:C24"/>
    <mergeCell ref="B20:C20"/>
    <mergeCell ref="B13:C13"/>
    <mergeCell ref="A2:N2"/>
    <mergeCell ref="A6:A7"/>
    <mergeCell ref="D6:E6"/>
    <mergeCell ref="F6:H6"/>
    <mergeCell ref="I6:L6"/>
    <mergeCell ref="M6:M7"/>
    <mergeCell ref="N6:N7"/>
    <mergeCell ref="B6:C7"/>
    <mergeCell ref="A9:A12"/>
    <mergeCell ref="A15:A18"/>
    <mergeCell ref="A20:A23"/>
    <mergeCell ref="A24:A27"/>
    <mergeCell ref="A28:A31"/>
    <mergeCell ref="B77:C77"/>
    <mergeCell ref="A32:A35"/>
    <mergeCell ref="A36:A39"/>
    <mergeCell ref="A41:A44"/>
    <mergeCell ref="A45:A48"/>
    <mergeCell ref="A50:A53"/>
    <mergeCell ref="B58:C58"/>
    <mergeCell ref="B41:C41"/>
    <mergeCell ref="B40:C40"/>
    <mergeCell ref="B32:C32"/>
    <mergeCell ref="B62:C62"/>
    <mergeCell ref="B75:C75"/>
    <mergeCell ref="B36:C36"/>
    <mergeCell ref="B45:C45"/>
    <mergeCell ref="B49:C49"/>
    <mergeCell ref="B50:C50"/>
    <mergeCell ref="A75:A76"/>
    <mergeCell ref="B66:C66"/>
    <mergeCell ref="B72:C72"/>
    <mergeCell ref="B73:C73"/>
    <mergeCell ref="B54:C54"/>
    <mergeCell ref="B70:C70"/>
    <mergeCell ref="B55:B57"/>
    <mergeCell ref="A70:A71"/>
    <mergeCell ref="B74:C74"/>
    <mergeCell ref="A54:A57"/>
    <mergeCell ref="A58:A61"/>
    <mergeCell ref="A62:A65"/>
    <mergeCell ref="A66:A69"/>
    <mergeCell ref="B51:B53"/>
    <mergeCell ref="B59:B61"/>
    <mergeCell ref="B63:B65"/>
    <mergeCell ref="B67:B69"/>
    <mergeCell ref="B10:B12"/>
    <mergeCell ref="B16:B18"/>
    <mergeCell ref="B21:B23"/>
    <mergeCell ref="B25:B27"/>
    <mergeCell ref="B29:B31"/>
    <mergeCell ref="B28:C28"/>
    <mergeCell ref="B33:B35"/>
    <mergeCell ref="B37:B39"/>
    <mergeCell ref="B42:B44"/>
    <mergeCell ref="B46:B48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/>
  </sheetViews>
  <sheetFormatPr defaultRowHeight="12.75" x14ac:dyDescent="0.2"/>
  <cols>
    <col min="1" max="1" width="7.7109375" style="1" customWidth="1"/>
    <col min="2" max="2" width="49.85546875" style="1" customWidth="1"/>
    <col min="3" max="3" width="14.7109375" style="2" customWidth="1"/>
    <col min="4" max="4" width="14.7109375" style="3" customWidth="1"/>
    <col min="5" max="5" width="14.7109375" style="2" customWidth="1"/>
    <col min="6" max="6" width="17" style="3" customWidth="1"/>
    <col min="7" max="7" width="14.7109375" style="3" customWidth="1"/>
    <col min="8" max="8" width="14.7109375" style="2" customWidth="1"/>
    <col min="9" max="9" width="15.7109375" style="2" customWidth="1"/>
    <col min="10" max="10" width="14.7109375" style="2" customWidth="1"/>
    <col min="11" max="11" width="14.7109375" style="4" customWidth="1"/>
    <col min="12" max="12" width="9.85546875" style="5" customWidth="1"/>
    <col min="13" max="13" width="9.7109375" style="5" customWidth="1"/>
    <col min="14" max="256" width="9.140625" style="1"/>
    <col min="257" max="257" width="6.7109375" style="1" customWidth="1"/>
    <col min="258" max="258" width="49.85546875" style="1" customWidth="1"/>
    <col min="259" max="261" width="14.7109375" style="1" customWidth="1"/>
    <col min="262" max="262" width="17" style="1" customWidth="1"/>
    <col min="263" max="266" width="14.7109375" style="1" customWidth="1"/>
    <col min="267" max="267" width="16.7109375" style="1" customWidth="1"/>
    <col min="268" max="268" width="6.85546875" style="1" customWidth="1"/>
    <col min="269" max="269" width="7.42578125" style="1" customWidth="1"/>
    <col min="270" max="512" width="9.140625" style="1"/>
    <col min="513" max="513" width="6.7109375" style="1" customWidth="1"/>
    <col min="514" max="514" width="49.85546875" style="1" customWidth="1"/>
    <col min="515" max="517" width="14.7109375" style="1" customWidth="1"/>
    <col min="518" max="518" width="17" style="1" customWidth="1"/>
    <col min="519" max="522" width="14.7109375" style="1" customWidth="1"/>
    <col min="523" max="523" width="16.7109375" style="1" customWidth="1"/>
    <col min="524" max="524" width="6.85546875" style="1" customWidth="1"/>
    <col min="525" max="525" width="7.42578125" style="1" customWidth="1"/>
    <col min="526" max="768" width="9.140625" style="1"/>
    <col min="769" max="769" width="6.7109375" style="1" customWidth="1"/>
    <col min="770" max="770" width="49.85546875" style="1" customWidth="1"/>
    <col min="771" max="773" width="14.7109375" style="1" customWidth="1"/>
    <col min="774" max="774" width="17" style="1" customWidth="1"/>
    <col min="775" max="778" width="14.7109375" style="1" customWidth="1"/>
    <col min="779" max="779" width="16.7109375" style="1" customWidth="1"/>
    <col min="780" max="780" width="6.85546875" style="1" customWidth="1"/>
    <col min="781" max="781" width="7.42578125" style="1" customWidth="1"/>
    <col min="782" max="1024" width="9.140625" style="1"/>
    <col min="1025" max="1025" width="6.7109375" style="1" customWidth="1"/>
    <col min="1026" max="1026" width="49.85546875" style="1" customWidth="1"/>
    <col min="1027" max="1029" width="14.7109375" style="1" customWidth="1"/>
    <col min="1030" max="1030" width="17" style="1" customWidth="1"/>
    <col min="1031" max="1034" width="14.7109375" style="1" customWidth="1"/>
    <col min="1035" max="1035" width="16.7109375" style="1" customWidth="1"/>
    <col min="1036" max="1036" width="6.85546875" style="1" customWidth="1"/>
    <col min="1037" max="1037" width="7.42578125" style="1" customWidth="1"/>
    <col min="1038" max="1280" width="9.140625" style="1"/>
    <col min="1281" max="1281" width="6.7109375" style="1" customWidth="1"/>
    <col min="1282" max="1282" width="49.85546875" style="1" customWidth="1"/>
    <col min="1283" max="1285" width="14.7109375" style="1" customWidth="1"/>
    <col min="1286" max="1286" width="17" style="1" customWidth="1"/>
    <col min="1287" max="1290" width="14.7109375" style="1" customWidth="1"/>
    <col min="1291" max="1291" width="16.7109375" style="1" customWidth="1"/>
    <col min="1292" max="1292" width="6.85546875" style="1" customWidth="1"/>
    <col min="1293" max="1293" width="7.42578125" style="1" customWidth="1"/>
    <col min="1294" max="1536" width="9.140625" style="1"/>
    <col min="1537" max="1537" width="6.7109375" style="1" customWidth="1"/>
    <col min="1538" max="1538" width="49.85546875" style="1" customWidth="1"/>
    <col min="1539" max="1541" width="14.7109375" style="1" customWidth="1"/>
    <col min="1542" max="1542" width="17" style="1" customWidth="1"/>
    <col min="1543" max="1546" width="14.7109375" style="1" customWidth="1"/>
    <col min="1547" max="1547" width="16.7109375" style="1" customWidth="1"/>
    <col min="1548" max="1548" width="6.85546875" style="1" customWidth="1"/>
    <col min="1549" max="1549" width="7.42578125" style="1" customWidth="1"/>
    <col min="1550" max="1792" width="9.140625" style="1"/>
    <col min="1793" max="1793" width="6.7109375" style="1" customWidth="1"/>
    <col min="1794" max="1794" width="49.85546875" style="1" customWidth="1"/>
    <col min="1795" max="1797" width="14.7109375" style="1" customWidth="1"/>
    <col min="1798" max="1798" width="17" style="1" customWidth="1"/>
    <col min="1799" max="1802" width="14.7109375" style="1" customWidth="1"/>
    <col min="1803" max="1803" width="16.7109375" style="1" customWidth="1"/>
    <col min="1804" max="1804" width="6.85546875" style="1" customWidth="1"/>
    <col min="1805" max="1805" width="7.42578125" style="1" customWidth="1"/>
    <col min="1806" max="2048" width="9.140625" style="1"/>
    <col min="2049" max="2049" width="6.7109375" style="1" customWidth="1"/>
    <col min="2050" max="2050" width="49.85546875" style="1" customWidth="1"/>
    <col min="2051" max="2053" width="14.7109375" style="1" customWidth="1"/>
    <col min="2054" max="2054" width="17" style="1" customWidth="1"/>
    <col min="2055" max="2058" width="14.7109375" style="1" customWidth="1"/>
    <col min="2059" max="2059" width="16.7109375" style="1" customWidth="1"/>
    <col min="2060" max="2060" width="6.85546875" style="1" customWidth="1"/>
    <col min="2061" max="2061" width="7.42578125" style="1" customWidth="1"/>
    <col min="2062" max="2304" width="9.140625" style="1"/>
    <col min="2305" max="2305" width="6.7109375" style="1" customWidth="1"/>
    <col min="2306" max="2306" width="49.85546875" style="1" customWidth="1"/>
    <col min="2307" max="2309" width="14.7109375" style="1" customWidth="1"/>
    <col min="2310" max="2310" width="17" style="1" customWidth="1"/>
    <col min="2311" max="2314" width="14.7109375" style="1" customWidth="1"/>
    <col min="2315" max="2315" width="16.7109375" style="1" customWidth="1"/>
    <col min="2316" max="2316" width="6.85546875" style="1" customWidth="1"/>
    <col min="2317" max="2317" width="7.42578125" style="1" customWidth="1"/>
    <col min="2318" max="2560" width="9.140625" style="1"/>
    <col min="2561" max="2561" width="6.7109375" style="1" customWidth="1"/>
    <col min="2562" max="2562" width="49.85546875" style="1" customWidth="1"/>
    <col min="2563" max="2565" width="14.7109375" style="1" customWidth="1"/>
    <col min="2566" max="2566" width="17" style="1" customWidth="1"/>
    <col min="2567" max="2570" width="14.7109375" style="1" customWidth="1"/>
    <col min="2571" max="2571" width="16.7109375" style="1" customWidth="1"/>
    <col min="2572" max="2572" width="6.85546875" style="1" customWidth="1"/>
    <col min="2573" max="2573" width="7.42578125" style="1" customWidth="1"/>
    <col min="2574" max="2816" width="9.140625" style="1"/>
    <col min="2817" max="2817" width="6.7109375" style="1" customWidth="1"/>
    <col min="2818" max="2818" width="49.85546875" style="1" customWidth="1"/>
    <col min="2819" max="2821" width="14.7109375" style="1" customWidth="1"/>
    <col min="2822" max="2822" width="17" style="1" customWidth="1"/>
    <col min="2823" max="2826" width="14.7109375" style="1" customWidth="1"/>
    <col min="2827" max="2827" width="16.7109375" style="1" customWidth="1"/>
    <col min="2828" max="2828" width="6.85546875" style="1" customWidth="1"/>
    <col min="2829" max="2829" width="7.42578125" style="1" customWidth="1"/>
    <col min="2830" max="3072" width="9.140625" style="1"/>
    <col min="3073" max="3073" width="6.7109375" style="1" customWidth="1"/>
    <col min="3074" max="3074" width="49.85546875" style="1" customWidth="1"/>
    <col min="3075" max="3077" width="14.7109375" style="1" customWidth="1"/>
    <col min="3078" max="3078" width="17" style="1" customWidth="1"/>
    <col min="3079" max="3082" width="14.7109375" style="1" customWidth="1"/>
    <col min="3083" max="3083" width="16.7109375" style="1" customWidth="1"/>
    <col min="3084" max="3084" width="6.85546875" style="1" customWidth="1"/>
    <col min="3085" max="3085" width="7.42578125" style="1" customWidth="1"/>
    <col min="3086" max="3328" width="9.140625" style="1"/>
    <col min="3329" max="3329" width="6.7109375" style="1" customWidth="1"/>
    <col min="3330" max="3330" width="49.85546875" style="1" customWidth="1"/>
    <col min="3331" max="3333" width="14.7109375" style="1" customWidth="1"/>
    <col min="3334" max="3334" width="17" style="1" customWidth="1"/>
    <col min="3335" max="3338" width="14.7109375" style="1" customWidth="1"/>
    <col min="3339" max="3339" width="16.7109375" style="1" customWidth="1"/>
    <col min="3340" max="3340" width="6.85546875" style="1" customWidth="1"/>
    <col min="3341" max="3341" width="7.42578125" style="1" customWidth="1"/>
    <col min="3342" max="3584" width="9.140625" style="1"/>
    <col min="3585" max="3585" width="6.7109375" style="1" customWidth="1"/>
    <col min="3586" max="3586" width="49.85546875" style="1" customWidth="1"/>
    <col min="3587" max="3589" width="14.7109375" style="1" customWidth="1"/>
    <col min="3590" max="3590" width="17" style="1" customWidth="1"/>
    <col min="3591" max="3594" width="14.7109375" style="1" customWidth="1"/>
    <col min="3595" max="3595" width="16.7109375" style="1" customWidth="1"/>
    <col min="3596" max="3596" width="6.85546875" style="1" customWidth="1"/>
    <col min="3597" max="3597" width="7.42578125" style="1" customWidth="1"/>
    <col min="3598" max="3840" width="9.140625" style="1"/>
    <col min="3841" max="3841" width="6.7109375" style="1" customWidth="1"/>
    <col min="3842" max="3842" width="49.85546875" style="1" customWidth="1"/>
    <col min="3843" max="3845" width="14.7109375" style="1" customWidth="1"/>
    <col min="3846" max="3846" width="17" style="1" customWidth="1"/>
    <col min="3847" max="3850" width="14.7109375" style="1" customWidth="1"/>
    <col min="3851" max="3851" width="16.7109375" style="1" customWidth="1"/>
    <col min="3852" max="3852" width="6.85546875" style="1" customWidth="1"/>
    <col min="3853" max="3853" width="7.42578125" style="1" customWidth="1"/>
    <col min="3854" max="4096" width="9.140625" style="1"/>
    <col min="4097" max="4097" width="6.7109375" style="1" customWidth="1"/>
    <col min="4098" max="4098" width="49.85546875" style="1" customWidth="1"/>
    <col min="4099" max="4101" width="14.7109375" style="1" customWidth="1"/>
    <col min="4102" max="4102" width="17" style="1" customWidth="1"/>
    <col min="4103" max="4106" width="14.7109375" style="1" customWidth="1"/>
    <col min="4107" max="4107" width="16.7109375" style="1" customWidth="1"/>
    <col min="4108" max="4108" width="6.85546875" style="1" customWidth="1"/>
    <col min="4109" max="4109" width="7.42578125" style="1" customWidth="1"/>
    <col min="4110" max="4352" width="9.140625" style="1"/>
    <col min="4353" max="4353" width="6.7109375" style="1" customWidth="1"/>
    <col min="4354" max="4354" width="49.85546875" style="1" customWidth="1"/>
    <col min="4355" max="4357" width="14.7109375" style="1" customWidth="1"/>
    <col min="4358" max="4358" width="17" style="1" customWidth="1"/>
    <col min="4359" max="4362" width="14.7109375" style="1" customWidth="1"/>
    <col min="4363" max="4363" width="16.7109375" style="1" customWidth="1"/>
    <col min="4364" max="4364" width="6.85546875" style="1" customWidth="1"/>
    <col min="4365" max="4365" width="7.42578125" style="1" customWidth="1"/>
    <col min="4366" max="4608" width="9.140625" style="1"/>
    <col min="4609" max="4609" width="6.7109375" style="1" customWidth="1"/>
    <col min="4610" max="4610" width="49.85546875" style="1" customWidth="1"/>
    <col min="4611" max="4613" width="14.7109375" style="1" customWidth="1"/>
    <col min="4614" max="4614" width="17" style="1" customWidth="1"/>
    <col min="4615" max="4618" width="14.7109375" style="1" customWidth="1"/>
    <col min="4619" max="4619" width="16.7109375" style="1" customWidth="1"/>
    <col min="4620" max="4620" width="6.85546875" style="1" customWidth="1"/>
    <col min="4621" max="4621" width="7.42578125" style="1" customWidth="1"/>
    <col min="4622" max="4864" width="9.140625" style="1"/>
    <col min="4865" max="4865" width="6.7109375" style="1" customWidth="1"/>
    <col min="4866" max="4866" width="49.85546875" style="1" customWidth="1"/>
    <col min="4867" max="4869" width="14.7109375" style="1" customWidth="1"/>
    <col min="4870" max="4870" width="17" style="1" customWidth="1"/>
    <col min="4871" max="4874" width="14.7109375" style="1" customWidth="1"/>
    <col min="4875" max="4875" width="16.7109375" style="1" customWidth="1"/>
    <col min="4876" max="4876" width="6.85546875" style="1" customWidth="1"/>
    <col min="4877" max="4877" width="7.42578125" style="1" customWidth="1"/>
    <col min="4878" max="5120" width="9.140625" style="1"/>
    <col min="5121" max="5121" width="6.7109375" style="1" customWidth="1"/>
    <col min="5122" max="5122" width="49.85546875" style="1" customWidth="1"/>
    <col min="5123" max="5125" width="14.7109375" style="1" customWidth="1"/>
    <col min="5126" max="5126" width="17" style="1" customWidth="1"/>
    <col min="5127" max="5130" width="14.7109375" style="1" customWidth="1"/>
    <col min="5131" max="5131" width="16.7109375" style="1" customWidth="1"/>
    <col min="5132" max="5132" width="6.85546875" style="1" customWidth="1"/>
    <col min="5133" max="5133" width="7.42578125" style="1" customWidth="1"/>
    <col min="5134" max="5376" width="9.140625" style="1"/>
    <col min="5377" max="5377" width="6.7109375" style="1" customWidth="1"/>
    <col min="5378" max="5378" width="49.85546875" style="1" customWidth="1"/>
    <col min="5379" max="5381" width="14.7109375" style="1" customWidth="1"/>
    <col min="5382" max="5382" width="17" style="1" customWidth="1"/>
    <col min="5383" max="5386" width="14.7109375" style="1" customWidth="1"/>
    <col min="5387" max="5387" width="16.7109375" style="1" customWidth="1"/>
    <col min="5388" max="5388" width="6.85546875" style="1" customWidth="1"/>
    <col min="5389" max="5389" width="7.42578125" style="1" customWidth="1"/>
    <col min="5390" max="5632" width="9.140625" style="1"/>
    <col min="5633" max="5633" width="6.7109375" style="1" customWidth="1"/>
    <col min="5634" max="5634" width="49.85546875" style="1" customWidth="1"/>
    <col min="5635" max="5637" width="14.7109375" style="1" customWidth="1"/>
    <col min="5638" max="5638" width="17" style="1" customWidth="1"/>
    <col min="5639" max="5642" width="14.7109375" style="1" customWidth="1"/>
    <col min="5643" max="5643" width="16.7109375" style="1" customWidth="1"/>
    <col min="5644" max="5644" width="6.85546875" style="1" customWidth="1"/>
    <col min="5645" max="5645" width="7.42578125" style="1" customWidth="1"/>
    <col min="5646" max="5888" width="9.140625" style="1"/>
    <col min="5889" max="5889" width="6.7109375" style="1" customWidth="1"/>
    <col min="5890" max="5890" width="49.85546875" style="1" customWidth="1"/>
    <col min="5891" max="5893" width="14.7109375" style="1" customWidth="1"/>
    <col min="5894" max="5894" width="17" style="1" customWidth="1"/>
    <col min="5895" max="5898" width="14.7109375" style="1" customWidth="1"/>
    <col min="5899" max="5899" width="16.7109375" style="1" customWidth="1"/>
    <col min="5900" max="5900" width="6.85546875" style="1" customWidth="1"/>
    <col min="5901" max="5901" width="7.42578125" style="1" customWidth="1"/>
    <col min="5902" max="6144" width="9.140625" style="1"/>
    <col min="6145" max="6145" width="6.7109375" style="1" customWidth="1"/>
    <col min="6146" max="6146" width="49.85546875" style="1" customWidth="1"/>
    <col min="6147" max="6149" width="14.7109375" style="1" customWidth="1"/>
    <col min="6150" max="6150" width="17" style="1" customWidth="1"/>
    <col min="6151" max="6154" width="14.7109375" style="1" customWidth="1"/>
    <col min="6155" max="6155" width="16.7109375" style="1" customWidth="1"/>
    <col min="6156" max="6156" width="6.85546875" style="1" customWidth="1"/>
    <col min="6157" max="6157" width="7.42578125" style="1" customWidth="1"/>
    <col min="6158" max="6400" width="9.140625" style="1"/>
    <col min="6401" max="6401" width="6.7109375" style="1" customWidth="1"/>
    <col min="6402" max="6402" width="49.85546875" style="1" customWidth="1"/>
    <col min="6403" max="6405" width="14.7109375" style="1" customWidth="1"/>
    <col min="6406" max="6406" width="17" style="1" customWidth="1"/>
    <col min="6407" max="6410" width="14.7109375" style="1" customWidth="1"/>
    <col min="6411" max="6411" width="16.7109375" style="1" customWidth="1"/>
    <col min="6412" max="6412" width="6.85546875" style="1" customWidth="1"/>
    <col min="6413" max="6413" width="7.42578125" style="1" customWidth="1"/>
    <col min="6414" max="6656" width="9.140625" style="1"/>
    <col min="6657" max="6657" width="6.7109375" style="1" customWidth="1"/>
    <col min="6658" max="6658" width="49.85546875" style="1" customWidth="1"/>
    <col min="6659" max="6661" width="14.7109375" style="1" customWidth="1"/>
    <col min="6662" max="6662" width="17" style="1" customWidth="1"/>
    <col min="6663" max="6666" width="14.7109375" style="1" customWidth="1"/>
    <col min="6667" max="6667" width="16.7109375" style="1" customWidth="1"/>
    <col min="6668" max="6668" width="6.85546875" style="1" customWidth="1"/>
    <col min="6669" max="6669" width="7.42578125" style="1" customWidth="1"/>
    <col min="6670" max="6912" width="9.140625" style="1"/>
    <col min="6913" max="6913" width="6.7109375" style="1" customWidth="1"/>
    <col min="6914" max="6914" width="49.85546875" style="1" customWidth="1"/>
    <col min="6915" max="6917" width="14.7109375" style="1" customWidth="1"/>
    <col min="6918" max="6918" width="17" style="1" customWidth="1"/>
    <col min="6919" max="6922" width="14.7109375" style="1" customWidth="1"/>
    <col min="6923" max="6923" width="16.7109375" style="1" customWidth="1"/>
    <col min="6924" max="6924" width="6.85546875" style="1" customWidth="1"/>
    <col min="6925" max="6925" width="7.42578125" style="1" customWidth="1"/>
    <col min="6926" max="7168" width="9.140625" style="1"/>
    <col min="7169" max="7169" width="6.7109375" style="1" customWidth="1"/>
    <col min="7170" max="7170" width="49.85546875" style="1" customWidth="1"/>
    <col min="7171" max="7173" width="14.7109375" style="1" customWidth="1"/>
    <col min="7174" max="7174" width="17" style="1" customWidth="1"/>
    <col min="7175" max="7178" width="14.7109375" style="1" customWidth="1"/>
    <col min="7179" max="7179" width="16.7109375" style="1" customWidth="1"/>
    <col min="7180" max="7180" width="6.85546875" style="1" customWidth="1"/>
    <col min="7181" max="7181" width="7.42578125" style="1" customWidth="1"/>
    <col min="7182" max="7424" width="9.140625" style="1"/>
    <col min="7425" max="7425" width="6.7109375" style="1" customWidth="1"/>
    <col min="7426" max="7426" width="49.85546875" style="1" customWidth="1"/>
    <col min="7427" max="7429" width="14.7109375" style="1" customWidth="1"/>
    <col min="7430" max="7430" width="17" style="1" customWidth="1"/>
    <col min="7431" max="7434" width="14.7109375" style="1" customWidth="1"/>
    <col min="7435" max="7435" width="16.7109375" style="1" customWidth="1"/>
    <col min="7436" max="7436" width="6.85546875" style="1" customWidth="1"/>
    <col min="7437" max="7437" width="7.42578125" style="1" customWidth="1"/>
    <col min="7438" max="7680" width="9.140625" style="1"/>
    <col min="7681" max="7681" width="6.7109375" style="1" customWidth="1"/>
    <col min="7682" max="7682" width="49.85546875" style="1" customWidth="1"/>
    <col min="7683" max="7685" width="14.7109375" style="1" customWidth="1"/>
    <col min="7686" max="7686" width="17" style="1" customWidth="1"/>
    <col min="7687" max="7690" width="14.7109375" style="1" customWidth="1"/>
    <col min="7691" max="7691" width="16.7109375" style="1" customWidth="1"/>
    <col min="7692" max="7692" width="6.85546875" style="1" customWidth="1"/>
    <col min="7693" max="7693" width="7.42578125" style="1" customWidth="1"/>
    <col min="7694" max="7936" width="9.140625" style="1"/>
    <col min="7937" max="7937" width="6.7109375" style="1" customWidth="1"/>
    <col min="7938" max="7938" width="49.85546875" style="1" customWidth="1"/>
    <col min="7939" max="7941" width="14.7109375" style="1" customWidth="1"/>
    <col min="7942" max="7942" width="17" style="1" customWidth="1"/>
    <col min="7943" max="7946" width="14.7109375" style="1" customWidth="1"/>
    <col min="7947" max="7947" width="16.7109375" style="1" customWidth="1"/>
    <col min="7948" max="7948" width="6.85546875" style="1" customWidth="1"/>
    <col min="7949" max="7949" width="7.42578125" style="1" customWidth="1"/>
    <col min="7950" max="8192" width="9.140625" style="1"/>
    <col min="8193" max="8193" width="6.7109375" style="1" customWidth="1"/>
    <col min="8194" max="8194" width="49.85546875" style="1" customWidth="1"/>
    <col min="8195" max="8197" width="14.7109375" style="1" customWidth="1"/>
    <col min="8198" max="8198" width="17" style="1" customWidth="1"/>
    <col min="8199" max="8202" width="14.7109375" style="1" customWidth="1"/>
    <col min="8203" max="8203" width="16.7109375" style="1" customWidth="1"/>
    <col min="8204" max="8204" width="6.85546875" style="1" customWidth="1"/>
    <col min="8205" max="8205" width="7.42578125" style="1" customWidth="1"/>
    <col min="8206" max="8448" width="9.140625" style="1"/>
    <col min="8449" max="8449" width="6.7109375" style="1" customWidth="1"/>
    <col min="8450" max="8450" width="49.85546875" style="1" customWidth="1"/>
    <col min="8451" max="8453" width="14.7109375" style="1" customWidth="1"/>
    <col min="8454" max="8454" width="17" style="1" customWidth="1"/>
    <col min="8455" max="8458" width="14.7109375" style="1" customWidth="1"/>
    <col min="8459" max="8459" width="16.7109375" style="1" customWidth="1"/>
    <col min="8460" max="8460" width="6.85546875" style="1" customWidth="1"/>
    <col min="8461" max="8461" width="7.42578125" style="1" customWidth="1"/>
    <col min="8462" max="8704" width="9.140625" style="1"/>
    <col min="8705" max="8705" width="6.7109375" style="1" customWidth="1"/>
    <col min="8706" max="8706" width="49.85546875" style="1" customWidth="1"/>
    <col min="8707" max="8709" width="14.7109375" style="1" customWidth="1"/>
    <col min="8710" max="8710" width="17" style="1" customWidth="1"/>
    <col min="8711" max="8714" width="14.7109375" style="1" customWidth="1"/>
    <col min="8715" max="8715" width="16.7109375" style="1" customWidth="1"/>
    <col min="8716" max="8716" width="6.85546875" style="1" customWidth="1"/>
    <col min="8717" max="8717" width="7.42578125" style="1" customWidth="1"/>
    <col min="8718" max="8960" width="9.140625" style="1"/>
    <col min="8961" max="8961" width="6.7109375" style="1" customWidth="1"/>
    <col min="8962" max="8962" width="49.85546875" style="1" customWidth="1"/>
    <col min="8963" max="8965" width="14.7109375" style="1" customWidth="1"/>
    <col min="8966" max="8966" width="17" style="1" customWidth="1"/>
    <col min="8967" max="8970" width="14.7109375" style="1" customWidth="1"/>
    <col min="8971" max="8971" width="16.7109375" style="1" customWidth="1"/>
    <col min="8972" max="8972" width="6.85546875" style="1" customWidth="1"/>
    <col min="8973" max="8973" width="7.42578125" style="1" customWidth="1"/>
    <col min="8974" max="9216" width="9.140625" style="1"/>
    <col min="9217" max="9217" width="6.7109375" style="1" customWidth="1"/>
    <col min="9218" max="9218" width="49.85546875" style="1" customWidth="1"/>
    <col min="9219" max="9221" width="14.7109375" style="1" customWidth="1"/>
    <col min="9222" max="9222" width="17" style="1" customWidth="1"/>
    <col min="9223" max="9226" width="14.7109375" style="1" customWidth="1"/>
    <col min="9227" max="9227" width="16.7109375" style="1" customWidth="1"/>
    <col min="9228" max="9228" width="6.85546875" style="1" customWidth="1"/>
    <col min="9229" max="9229" width="7.42578125" style="1" customWidth="1"/>
    <col min="9230" max="9472" width="9.140625" style="1"/>
    <col min="9473" max="9473" width="6.7109375" style="1" customWidth="1"/>
    <col min="9474" max="9474" width="49.85546875" style="1" customWidth="1"/>
    <col min="9475" max="9477" width="14.7109375" style="1" customWidth="1"/>
    <col min="9478" max="9478" width="17" style="1" customWidth="1"/>
    <col min="9479" max="9482" width="14.7109375" style="1" customWidth="1"/>
    <col min="9483" max="9483" width="16.7109375" style="1" customWidth="1"/>
    <col min="9484" max="9484" width="6.85546875" style="1" customWidth="1"/>
    <col min="9485" max="9485" width="7.42578125" style="1" customWidth="1"/>
    <col min="9486" max="9728" width="9.140625" style="1"/>
    <col min="9729" max="9729" width="6.7109375" style="1" customWidth="1"/>
    <col min="9730" max="9730" width="49.85546875" style="1" customWidth="1"/>
    <col min="9731" max="9733" width="14.7109375" style="1" customWidth="1"/>
    <col min="9734" max="9734" width="17" style="1" customWidth="1"/>
    <col min="9735" max="9738" width="14.7109375" style="1" customWidth="1"/>
    <col min="9739" max="9739" width="16.7109375" style="1" customWidth="1"/>
    <col min="9740" max="9740" width="6.85546875" style="1" customWidth="1"/>
    <col min="9741" max="9741" width="7.42578125" style="1" customWidth="1"/>
    <col min="9742" max="9984" width="9.140625" style="1"/>
    <col min="9985" max="9985" width="6.7109375" style="1" customWidth="1"/>
    <col min="9986" max="9986" width="49.85546875" style="1" customWidth="1"/>
    <col min="9987" max="9989" width="14.7109375" style="1" customWidth="1"/>
    <col min="9990" max="9990" width="17" style="1" customWidth="1"/>
    <col min="9991" max="9994" width="14.7109375" style="1" customWidth="1"/>
    <col min="9995" max="9995" width="16.7109375" style="1" customWidth="1"/>
    <col min="9996" max="9996" width="6.85546875" style="1" customWidth="1"/>
    <col min="9997" max="9997" width="7.42578125" style="1" customWidth="1"/>
    <col min="9998" max="10240" width="9.140625" style="1"/>
    <col min="10241" max="10241" width="6.7109375" style="1" customWidth="1"/>
    <col min="10242" max="10242" width="49.85546875" style="1" customWidth="1"/>
    <col min="10243" max="10245" width="14.7109375" style="1" customWidth="1"/>
    <col min="10246" max="10246" width="17" style="1" customWidth="1"/>
    <col min="10247" max="10250" width="14.7109375" style="1" customWidth="1"/>
    <col min="10251" max="10251" width="16.7109375" style="1" customWidth="1"/>
    <col min="10252" max="10252" width="6.85546875" style="1" customWidth="1"/>
    <col min="10253" max="10253" width="7.42578125" style="1" customWidth="1"/>
    <col min="10254" max="10496" width="9.140625" style="1"/>
    <col min="10497" max="10497" width="6.7109375" style="1" customWidth="1"/>
    <col min="10498" max="10498" width="49.85546875" style="1" customWidth="1"/>
    <col min="10499" max="10501" width="14.7109375" style="1" customWidth="1"/>
    <col min="10502" max="10502" width="17" style="1" customWidth="1"/>
    <col min="10503" max="10506" width="14.7109375" style="1" customWidth="1"/>
    <col min="10507" max="10507" width="16.7109375" style="1" customWidth="1"/>
    <col min="10508" max="10508" width="6.85546875" style="1" customWidth="1"/>
    <col min="10509" max="10509" width="7.42578125" style="1" customWidth="1"/>
    <col min="10510" max="10752" width="9.140625" style="1"/>
    <col min="10753" max="10753" width="6.7109375" style="1" customWidth="1"/>
    <col min="10754" max="10754" width="49.85546875" style="1" customWidth="1"/>
    <col min="10755" max="10757" width="14.7109375" style="1" customWidth="1"/>
    <col min="10758" max="10758" width="17" style="1" customWidth="1"/>
    <col min="10759" max="10762" width="14.7109375" style="1" customWidth="1"/>
    <col min="10763" max="10763" width="16.7109375" style="1" customWidth="1"/>
    <col min="10764" max="10764" width="6.85546875" style="1" customWidth="1"/>
    <col min="10765" max="10765" width="7.42578125" style="1" customWidth="1"/>
    <col min="10766" max="11008" width="9.140625" style="1"/>
    <col min="11009" max="11009" width="6.7109375" style="1" customWidth="1"/>
    <col min="11010" max="11010" width="49.85546875" style="1" customWidth="1"/>
    <col min="11011" max="11013" width="14.7109375" style="1" customWidth="1"/>
    <col min="11014" max="11014" width="17" style="1" customWidth="1"/>
    <col min="11015" max="11018" width="14.7109375" style="1" customWidth="1"/>
    <col min="11019" max="11019" width="16.7109375" style="1" customWidth="1"/>
    <col min="11020" max="11020" width="6.85546875" style="1" customWidth="1"/>
    <col min="11021" max="11021" width="7.42578125" style="1" customWidth="1"/>
    <col min="11022" max="11264" width="9.140625" style="1"/>
    <col min="11265" max="11265" width="6.7109375" style="1" customWidth="1"/>
    <col min="11266" max="11266" width="49.85546875" style="1" customWidth="1"/>
    <col min="11267" max="11269" width="14.7109375" style="1" customWidth="1"/>
    <col min="11270" max="11270" width="17" style="1" customWidth="1"/>
    <col min="11271" max="11274" width="14.7109375" style="1" customWidth="1"/>
    <col min="11275" max="11275" width="16.7109375" style="1" customWidth="1"/>
    <col min="11276" max="11276" width="6.85546875" style="1" customWidth="1"/>
    <col min="11277" max="11277" width="7.42578125" style="1" customWidth="1"/>
    <col min="11278" max="11520" width="9.140625" style="1"/>
    <col min="11521" max="11521" width="6.7109375" style="1" customWidth="1"/>
    <col min="11522" max="11522" width="49.85546875" style="1" customWidth="1"/>
    <col min="11523" max="11525" width="14.7109375" style="1" customWidth="1"/>
    <col min="11526" max="11526" width="17" style="1" customWidth="1"/>
    <col min="11527" max="11530" width="14.7109375" style="1" customWidth="1"/>
    <col min="11531" max="11531" width="16.7109375" style="1" customWidth="1"/>
    <col min="11532" max="11532" width="6.85546875" style="1" customWidth="1"/>
    <col min="11533" max="11533" width="7.42578125" style="1" customWidth="1"/>
    <col min="11534" max="11776" width="9.140625" style="1"/>
    <col min="11777" max="11777" width="6.7109375" style="1" customWidth="1"/>
    <col min="11778" max="11778" width="49.85546875" style="1" customWidth="1"/>
    <col min="11779" max="11781" width="14.7109375" style="1" customWidth="1"/>
    <col min="11782" max="11782" width="17" style="1" customWidth="1"/>
    <col min="11783" max="11786" width="14.7109375" style="1" customWidth="1"/>
    <col min="11787" max="11787" width="16.7109375" style="1" customWidth="1"/>
    <col min="11788" max="11788" width="6.85546875" style="1" customWidth="1"/>
    <col min="11789" max="11789" width="7.42578125" style="1" customWidth="1"/>
    <col min="11790" max="12032" width="9.140625" style="1"/>
    <col min="12033" max="12033" width="6.7109375" style="1" customWidth="1"/>
    <col min="12034" max="12034" width="49.85546875" style="1" customWidth="1"/>
    <col min="12035" max="12037" width="14.7109375" style="1" customWidth="1"/>
    <col min="12038" max="12038" width="17" style="1" customWidth="1"/>
    <col min="12039" max="12042" width="14.7109375" style="1" customWidth="1"/>
    <col min="12043" max="12043" width="16.7109375" style="1" customWidth="1"/>
    <col min="12044" max="12044" width="6.85546875" style="1" customWidth="1"/>
    <col min="12045" max="12045" width="7.42578125" style="1" customWidth="1"/>
    <col min="12046" max="12288" width="9.140625" style="1"/>
    <col min="12289" max="12289" width="6.7109375" style="1" customWidth="1"/>
    <col min="12290" max="12290" width="49.85546875" style="1" customWidth="1"/>
    <col min="12291" max="12293" width="14.7109375" style="1" customWidth="1"/>
    <col min="12294" max="12294" width="17" style="1" customWidth="1"/>
    <col min="12295" max="12298" width="14.7109375" style="1" customWidth="1"/>
    <col min="12299" max="12299" width="16.7109375" style="1" customWidth="1"/>
    <col min="12300" max="12300" width="6.85546875" style="1" customWidth="1"/>
    <col min="12301" max="12301" width="7.42578125" style="1" customWidth="1"/>
    <col min="12302" max="12544" width="9.140625" style="1"/>
    <col min="12545" max="12545" width="6.7109375" style="1" customWidth="1"/>
    <col min="12546" max="12546" width="49.85546875" style="1" customWidth="1"/>
    <col min="12547" max="12549" width="14.7109375" style="1" customWidth="1"/>
    <col min="12550" max="12550" width="17" style="1" customWidth="1"/>
    <col min="12551" max="12554" width="14.7109375" style="1" customWidth="1"/>
    <col min="12555" max="12555" width="16.7109375" style="1" customWidth="1"/>
    <col min="12556" max="12556" width="6.85546875" style="1" customWidth="1"/>
    <col min="12557" max="12557" width="7.42578125" style="1" customWidth="1"/>
    <col min="12558" max="12800" width="9.140625" style="1"/>
    <col min="12801" max="12801" width="6.7109375" style="1" customWidth="1"/>
    <col min="12802" max="12802" width="49.85546875" style="1" customWidth="1"/>
    <col min="12803" max="12805" width="14.7109375" style="1" customWidth="1"/>
    <col min="12806" max="12806" width="17" style="1" customWidth="1"/>
    <col min="12807" max="12810" width="14.7109375" style="1" customWidth="1"/>
    <col min="12811" max="12811" width="16.7109375" style="1" customWidth="1"/>
    <col min="12812" max="12812" width="6.85546875" style="1" customWidth="1"/>
    <col min="12813" max="12813" width="7.42578125" style="1" customWidth="1"/>
    <col min="12814" max="13056" width="9.140625" style="1"/>
    <col min="13057" max="13057" width="6.7109375" style="1" customWidth="1"/>
    <col min="13058" max="13058" width="49.85546875" style="1" customWidth="1"/>
    <col min="13059" max="13061" width="14.7109375" style="1" customWidth="1"/>
    <col min="13062" max="13062" width="17" style="1" customWidth="1"/>
    <col min="13063" max="13066" width="14.7109375" style="1" customWidth="1"/>
    <col min="13067" max="13067" width="16.7109375" style="1" customWidth="1"/>
    <col min="13068" max="13068" width="6.85546875" style="1" customWidth="1"/>
    <col min="13069" max="13069" width="7.42578125" style="1" customWidth="1"/>
    <col min="13070" max="13312" width="9.140625" style="1"/>
    <col min="13313" max="13313" width="6.7109375" style="1" customWidth="1"/>
    <col min="13314" max="13314" width="49.85546875" style="1" customWidth="1"/>
    <col min="13315" max="13317" width="14.7109375" style="1" customWidth="1"/>
    <col min="13318" max="13318" width="17" style="1" customWidth="1"/>
    <col min="13319" max="13322" width="14.7109375" style="1" customWidth="1"/>
    <col min="13323" max="13323" width="16.7109375" style="1" customWidth="1"/>
    <col min="13324" max="13324" width="6.85546875" style="1" customWidth="1"/>
    <col min="13325" max="13325" width="7.42578125" style="1" customWidth="1"/>
    <col min="13326" max="13568" width="9.140625" style="1"/>
    <col min="13569" max="13569" width="6.7109375" style="1" customWidth="1"/>
    <col min="13570" max="13570" width="49.85546875" style="1" customWidth="1"/>
    <col min="13571" max="13573" width="14.7109375" style="1" customWidth="1"/>
    <col min="13574" max="13574" width="17" style="1" customWidth="1"/>
    <col min="13575" max="13578" width="14.7109375" style="1" customWidth="1"/>
    <col min="13579" max="13579" width="16.7109375" style="1" customWidth="1"/>
    <col min="13580" max="13580" width="6.85546875" style="1" customWidth="1"/>
    <col min="13581" max="13581" width="7.42578125" style="1" customWidth="1"/>
    <col min="13582" max="13824" width="9.140625" style="1"/>
    <col min="13825" max="13825" width="6.7109375" style="1" customWidth="1"/>
    <col min="13826" max="13826" width="49.85546875" style="1" customWidth="1"/>
    <col min="13827" max="13829" width="14.7109375" style="1" customWidth="1"/>
    <col min="13830" max="13830" width="17" style="1" customWidth="1"/>
    <col min="13831" max="13834" width="14.7109375" style="1" customWidth="1"/>
    <col min="13835" max="13835" width="16.7109375" style="1" customWidth="1"/>
    <col min="13836" max="13836" width="6.85546875" style="1" customWidth="1"/>
    <col min="13837" max="13837" width="7.42578125" style="1" customWidth="1"/>
    <col min="13838" max="14080" width="9.140625" style="1"/>
    <col min="14081" max="14081" width="6.7109375" style="1" customWidth="1"/>
    <col min="14082" max="14082" width="49.85546875" style="1" customWidth="1"/>
    <col min="14083" max="14085" width="14.7109375" style="1" customWidth="1"/>
    <col min="14086" max="14086" width="17" style="1" customWidth="1"/>
    <col min="14087" max="14090" width="14.7109375" style="1" customWidth="1"/>
    <col min="14091" max="14091" width="16.7109375" style="1" customWidth="1"/>
    <col min="14092" max="14092" width="6.85546875" style="1" customWidth="1"/>
    <col min="14093" max="14093" width="7.42578125" style="1" customWidth="1"/>
    <col min="14094" max="14336" width="9.140625" style="1"/>
    <col min="14337" max="14337" width="6.7109375" style="1" customWidth="1"/>
    <col min="14338" max="14338" width="49.85546875" style="1" customWidth="1"/>
    <col min="14339" max="14341" width="14.7109375" style="1" customWidth="1"/>
    <col min="14342" max="14342" width="17" style="1" customWidth="1"/>
    <col min="14343" max="14346" width="14.7109375" style="1" customWidth="1"/>
    <col min="14347" max="14347" width="16.7109375" style="1" customWidth="1"/>
    <col min="14348" max="14348" width="6.85546875" style="1" customWidth="1"/>
    <col min="14349" max="14349" width="7.42578125" style="1" customWidth="1"/>
    <col min="14350" max="14592" width="9.140625" style="1"/>
    <col min="14593" max="14593" width="6.7109375" style="1" customWidth="1"/>
    <col min="14594" max="14594" width="49.85546875" style="1" customWidth="1"/>
    <col min="14595" max="14597" width="14.7109375" style="1" customWidth="1"/>
    <col min="14598" max="14598" width="17" style="1" customWidth="1"/>
    <col min="14599" max="14602" width="14.7109375" style="1" customWidth="1"/>
    <col min="14603" max="14603" width="16.7109375" style="1" customWidth="1"/>
    <col min="14604" max="14604" width="6.85546875" style="1" customWidth="1"/>
    <col min="14605" max="14605" width="7.42578125" style="1" customWidth="1"/>
    <col min="14606" max="14848" width="9.140625" style="1"/>
    <col min="14849" max="14849" width="6.7109375" style="1" customWidth="1"/>
    <col min="14850" max="14850" width="49.85546875" style="1" customWidth="1"/>
    <col min="14851" max="14853" width="14.7109375" style="1" customWidth="1"/>
    <col min="14854" max="14854" width="17" style="1" customWidth="1"/>
    <col min="14855" max="14858" width="14.7109375" style="1" customWidth="1"/>
    <col min="14859" max="14859" width="16.7109375" style="1" customWidth="1"/>
    <col min="14860" max="14860" width="6.85546875" style="1" customWidth="1"/>
    <col min="14861" max="14861" width="7.42578125" style="1" customWidth="1"/>
    <col min="14862" max="15104" width="9.140625" style="1"/>
    <col min="15105" max="15105" width="6.7109375" style="1" customWidth="1"/>
    <col min="15106" max="15106" width="49.85546875" style="1" customWidth="1"/>
    <col min="15107" max="15109" width="14.7109375" style="1" customWidth="1"/>
    <col min="15110" max="15110" width="17" style="1" customWidth="1"/>
    <col min="15111" max="15114" width="14.7109375" style="1" customWidth="1"/>
    <col min="15115" max="15115" width="16.7109375" style="1" customWidth="1"/>
    <col min="15116" max="15116" width="6.85546875" style="1" customWidth="1"/>
    <col min="15117" max="15117" width="7.42578125" style="1" customWidth="1"/>
    <col min="15118" max="15360" width="9.140625" style="1"/>
    <col min="15361" max="15361" width="6.7109375" style="1" customWidth="1"/>
    <col min="15362" max="15362" width="49.85546875" style="1" customWidth="1"/>
    <col min="15363" max="15365" width="14.7109375" style="1" customWidth="1"/>
    <col min="15366" max="15366" width="17" style="1" customWidth="1"/>
    <col min="15367" max="15370" width="14.7109375" style="1" customWidth="1"/>
    <col min="15371" max="15371" width="16.7109375" style="1" customWidth="1"/>
    <col min="15372" max="15372" width="6.85546875" style="1" customWidth="1"/>
    <col min="15373" max="15373" width="7.42578125" style="1" customWidth="1"/>
    <col min="15374" max="15616" width="9.140625" style="1"/>
    <col min="15617" max="15617" width="6.7109375" style="1" customWidth="1"/>
    <col min="15618" max="15618" width="49.85546875" style="1" customWidth="1"/>
    <col min="15619" max="15621" width="14.7109375" style="1" customWidth="1"/>
    <col min="15622" max="15622" width="17" style="1" customWidth="1"/>
    <col min="15623" max="15626" width="14.7109375" style="1" customWidth="1"/>
    <col min="15627" max="15627" width="16.7109375" style="1" customWidth="1"/>
    <col min="15628" max="15628" width="6.85546875" style="1" customWidth="1"/>
    <col min="15629" max="15629" width="7.42578125" style="1" customWidth="1"/>
    <col min="15630" max="15872" width="9.140625" style="1"/>
    <col min="15873" max="15873" width="6.7109375" style="1" customWidth="1"/>
    <col min="15874" max="15874" width="49.85546875" style="1" customWidth="1"/>
    <col min="15875" max="15877" width="14.7109375" style="1" customWidth="1"/>
    <col min="15878" max="15878" width="17" style="1" customWidth="1"/>
    <col min="15879" max="15882" width="14.7109375" style="1" customWidth="1"/>
    <col min="15883" max="15883" width="16.7109375" style="1" customWidth="1"/>
    <col min="15884" max="15884" width="6.85546875" style="1" customWidth="1"/>
    <col min="15885" max="15885" width="7.42578125" style="1" customWidth="1"/>
    <col min="15886" max="16128" width="9.140625" style="1"/>
    <col min="16129" max="16129" width="6.7109375" style="1" customWidth="1"/>
    <col min="16130" max="16130" width="49.85546875" style="1" customWidth="1"/>
    <col min="16131" max="16133" width="14.7109375" style="1" customWidth="1"/>
    <col min="16134" max="16134" width="17" style="1" customWidth="1"/>
    <col min="16135" max="16138" width="14.7109375" style="1" customWidth="1"/>
    <col min="16139" max="16139" width="16.7109375" style="1" customWidth="1"/>
    <col min="16140" max="16140" width="6.85546875" style="1" customWidth="1"/>
    <col min="16141" max="16141" width="7.42578125" style="1" customWidth="1"/>
    <col min="16142" max="16384" width="9.140625" style="1"/>
  </cols>
  <sheetData>
    <row r="1" spans="1:14" ht="15" x14ac:dyDescent="0.25">
      <c r="M1" s="6"/>
    </row>
    <row r="2" spans="1:14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70"/>
    </row>
    <row r="3" spans="1:14" ht="15" customHeight="1" x14ac:dyDescent="0.2"/>
    <row r="4" spans="1:14" ht="20.100000000000001" customHeight="1" x14ac:dyDescent="0.3">
      <c r="A4" s="250" t="s">
        <v>437</v>
      </c>
      <c r="B4" s="7"/>
      <c r="L4" s="8"/>
    </row>
    <row r="5" spans="1:14" ht="15" customHeight="1" thickBot="1" x14ac:dyDescent="0.35">
      <c r="A5" s="7"/>
      <c r="M5" s="8" t="s">
        <v>0</v>
      </c>
    </row>
    <row r="6" spans="1:14" s="142" customFormat="1" ht="15.95" customHeight="1" x14ac:dyDescent="0.15">
      <c r="A6" s="1471" t="s">
        <v>104</v>
      </c>
      <c r="B6" s="1465" t="s">
        <v>156</v>
      </c>
      <c r="C6" s="1473" t="s">
        <v>164</v>
      </c>
      <c r="D6" s="1474"/>
      <c r="E6" s="1473" t="s">
        <v>132</v>
      </c>
      <c r="F6" s="1475"/>
      <c r="G6" s="1474"/>
      <c r="H6" s="1476" t="s">
        <v>165</v>
      </c>
      <c r="I6" s="1477"/>
      <c r="J6" s="1477"/>
      <c r="K6" s="1478"/>
      <c r="L6" s="1479" t="s">
        <v>151</v>
      </c>
      <c r="M6" s="1481" t="s">
        <v>157</v>
      </c>
    </row>
    <row r="7" spans="1:14" s="142" customFormat="1" ht="27" customHeight="1" thickBot="1" x14ac:dyDescent="0.2">
      <c r="A7" s="1472"/>
      <c r="B7" s="1467"/>
      <c r="C7" s="935" t="s">
        <v>163</v>
      </c>
      <c r="D7" s="936" t="s">
        <v>197</v>
      </c>
      <c r="E7" s="1216" t="s">
        <v>169</v>
      </c>
      <c r="F7" s="1217" t="s">
        <v>470</v>
      </c>
      <c r="G7" s="1218" t="s">
        <v>471</v>
      </c>
      <c r="H7" s="1171" t="s">
        <v>194</v>
      </c>
      <c r="I7" s="1170" t="s">
        <v>195</v>
      </c>
      <c r="J7" s="1172" t="s">
        <v>196</v>
      </c>
      <c r="K7" s="441" t="s">
        <v>99</v>
      </c>
      <c r="L7" s="1480"/>
      <c r="M7" s="1482"/>
    </row>
    <row r="8" spans="1:14" s="18" customFormat="1" ht="20.100000000000001" customHeight="1" thickBot="1" x14ac:dyDescent="0.3">
      <c r="A8" s="9"/>
      <c r="B8" s="10" t="s">
        <v>158</v>
      </c>
      <c r="C8" s="11"/>
      <c r="D8" s="12"/>
      <c r="E8" s="11"/>
      <c r="F8" s="13"/>
      <c r="G8" s="13"/>
      <c r="H8" s="14"/>
      <c r="I8" s="14"/>
      <c r="J8" s="14"/>
      <c r="K8" s="15"/>
      <c r="L8" s="16"/>
      <c r="M8" s="17"/>
    </row>
    <row r="9" spans="1:14" s="20" customFormat="1" ht="15" customHeight="1" x14ac:dyDescent="0.2">
      <c r="A9" s="552">
        <v>2143</v>
      </c>
      <c r="B9" s="528" t="s">
        <v>174</v>
      </c>
      <c r="C9" s="553">
        <v>0</v>
      </c>
      <c r="D9" s="554">
        <v>134.15</v>
      </c>
      <c r="E9" s="555">
        <v>0</v>
      </c>
      <c r="F9" s="556">
        <v>100</v>
      </c>
      <c r="G9" s="557">
        <v>2.63</v>
      </c>
      <c r="H9" s="553">
        <v>0</v>
      </c>
      <c r="I9" s="558">
        <v>0</v>
      </c>
      <c r="J9" s="559">
        <v>0</v>
      </c>
      <c r="K9" s="366">
        <f t="shared" ref="K9:K31" si="0">SUM(H9:J9)</f>
        <v>0</v>
      </c>
      <c r="L9" s="585" t="s">
        <v>71</v>
      </c>
      <c r="M9" s="520">
        <f t="shared" ref="M9:M28" si="1">K9/F9*100</f>
        <v>0</v>
      </c>
      <c r="N9" s="19"/>
    </row>
    <row r="10" spans="1:14" s="20" customFormat="1" ht="15" customHeight="1" x14ac:dyDescent="0.2">
      <c r="A10" s="560">
        <v>2212</v>
      </c>
      <c r="B10" s="529" t="s">
        <v>175</v>
      </c>
      <c r="C10" s="402">
        <v>0</v>
      </c>
      <c r="D10" s="403">
        <v>196.75</v>
      </c>
      <c r="E10" s="522">
        <v>0</v>
      </c>
      <c r="F10" s="382">
        <v>1700</v>
      </c>
      <c r="G10" s="527">
        <v>245.43</v>
      </c>
      <c r="H10" s="402">
        <v>0</v>
      </c>
      <c r="I10" s="406">
        <v>100</v>
      </c>
      <c r="J10" s="525">
        <v>0</v>
      </c>
      <c r="K10" s="373">
        <f t="shared" si="0"/>
        <v>100</v>
      </c>
      <c r="L10" s="504" t="s">
        <v>71</v>
      </c>
      <c r="M10" s="385">
        <f t="shared" si="1"/>
        <v>5.8823529411764701</v>
      </c>
      <c r="N10" s="19"/>
    </row>
    <row r="11" spans="1:14" s="20" customFormat="1" ht="15" customHeight="1" x14ac:dyDescent="0.2">
      <c r="A11" s="560">
        <v>2219</v>
      </c>
      <c r="B11" s="529" t="s">
        <v>176</v>
      </c>
      <c r="C11" s="402">
        <v>0</v>
      </c>
      <c r="D11" s="403">
        <v>190.71</v>
      </c>
      <c r="E11" s="522">
        <v>0</v>
      </c>
      <c r="F11" s="382">
        <v>0</v>
      </c>
      <c r="G11" s="527">
        <v>0</v>
      </c>
      <c r="H11" s="402">
        <v>0</v>
      </c>
      <c r="I11" s="406">
        <v>0</v>
      </c>
      <c r="J11" s="525">
        <v>0</v>
      </c>
      <c r="K11" s="373">
        <f t="shared" si="0"/>
        <v>0</v>
      </c>
      <c r="L11" s="504" t="s">
        <v>71</v>
      </c>
      <c r="M11" s="385" t="s">
        <v>71</v>
      </c>
      <c r="N11" s="19"/>
    </row>
    <row r="12" spans="1:14" s="20" customFormat="1" ht="15" customHeight="1" x14ac:dyDescent="0.2">
      <c r="A12" s="560">
        <v>2223</v>
      </c>
      <c r="B12" s="529" t="s">
        <v>177</v>
      </c>
      <c r="C12" s="402">
        <v>0</v>
      </c>
      <c r="D12" s="403">
        <v>27.63</v>
      </c>
      <c r="E12" s="522">
        <v>0</v>
      </c>
      <c r="F12" s="382">
        <v>1.61</v>
      </c>
      <c r="G12" s="527">
        <v>1.61</v>
      </c>
      <c r="H12" s="402">
        <v>0</v>
      </c>
      <c r="I12" s="406">
        <v>0</v>
      </c>
      <c r="J12" s="525">
        <v>0</v>
      </c>
      <c r="K12" s="373">
        <f t="shared" si="0"/>
        <v>0</v>
      </c>
      <c r="L12" s="504" t="s">
        <v>71</v>
      </c>
      <c r="M12" s="385">
        <f t="shared" si="1"/>
        <v>0</v>
      </c>
      <c r="N12" s="19"/>
    </row>
    <row r="13" spans="1:14" s="20" customFormat="1" ht="15" customHeight="1" x14ac:dyDescent="0.2">
      <c r="A13" s="560">
        <v>2229</v>
      </c>
      <c r="B13" s="529" t="s">
        <v>178</v>
      </c>
      <c r="C13" s="402">
        <v>0</v>
      </c>
      <c r="D13" s="403">
        <v>51.32</v>
      </c>
      <c r="E13" s="522">
        <v>0</v>
      </c>
      <c r="F13" s="382">
        <v>54.15</v>
      </c>
      <c r="G13" s="527">
        <v>54.15</v>
      </c>
      <c r="H13" s="402">
        <v>0</v>
      </c>
      <c r="I13" s="406">
        <v>100</v>
      </c>
      <c r="J13" s="525">
        <v>0</v>
      </c>
      <c r="K13" s="373">
        <f t="shared" si="0"/>
        <v>100</v>
      </c>
      <c r="L13" s="504" t="s">
        <v>71</v>
      </c>
      <c r="M13" s="385">
        <f t="shared" si="1"/>
        <v>184.67220683287167</v>
      </c>
      <c r="N13" s="19"/>
    </row>
    <row r="14" spans="1:14" s="20" customFormat="1" ht="15" customHeight="1" x14ac:dyDescent="0.2">
      <c r="A14" s="560">
        <v>3121</v>
      </c>
      <c r="B14" s="529" t="s">
        <v>180</v>
      </c>
      <c r="C14" s="402">
        <v>0</v>
      </c>
      <c r="D14" s="403">
        <v>2.63</v>
      </c>
      <c r="E14" s="522">
        <v>0</v>
      </c>
      <c r="F14" s="382">
        <v>0</v>
      </c>
      <c r="G14" s="527">
        <v>0</v>
      </c>
      <c r="H14" s="402">
        <v>0</v>
      </c>
      <c r="I14" s="406">
        <v>0</v>
      </c>
      <c r="J14" s="525">
        <v>0</v>
      </c>
      <c r="K14" s="373">
        <f t="shared" si="0"/>
        <v>0</v>
      </c>
      <c r="L14" s="504" t="s">
        <v>71</v>
      </c>
      <c r="M14" s="385" t="s">
        <v>71</v>
      </c>
      <c r="N14" s="19"/>
    </row>
    <row r="15" spans="1:14" s="20" customFormat="1" ht="15" customHeight="1" x14ac:dyDescent="0.2">
      <c r="A15" s="560">
        <v>3122</v>
      </c>
      <c r="B15" s="529" t="s">
        <v>181</v>
      </c>
      <c r="C15" s="402">
        <v>0</v>
      </c>
      <c r="D15" s="403">
        <v>49.66</v>
      </c>
      <c r="E15" s="522">
        <v>0</v>
      </c>
      <c r="F15" s="382">
        <v>56.95</v>
      </c>
      <c r="G15" s="527">
        <v>56.95</v>
      </c>
      <c r="H15" s="402">
        <v>0</v>
      </c>
      <c r="I15" s="406">
        <v>100</v>
      </c>
      <c r="J15" s="525">
        <v>0</v>
      </c>
      <c r="K15" s="373">
        <f t="shared" si="0"/>
        <v>100</v>
      </c>
      <c r="L15" s="504" t="s">
        <v>71</v>
      </c>
      <c r="M15" s="385">
        <f t="shared" si="1"/>
        <v>175.59262510974537</v>
      </c>
      <c r="N15" s="19"/>
    </row>
    <row r="16" spans="1:14" s="20" customFormat="1" ht="30.75" customHeight="1" x14ac:dyDescent="0.2">
      <c r="A16" s="560">
        <v>3123</v>
      </c>
      <c r="B16" s="529" t="s">
        <v>450</v>
      </c>
      <c r="C16" s="402">
        <v>0</v>
      </c>
      <c r="D16" s="403">
        <v>0</v>
      </c>
      <c r="E16" s="522">
        <v>0</v>
      </c>
      <c r="F16" s="382">
        <v>0</v>
      </c>
      <c r="G16" s="527">
        <v>0</v>
      </c>
      <c r="H16" s="402">
        <v>0</v>
      </c>
      <c r="I16" s="406">
        <v>100</v>
      </c>
      <c r="J16" s="525">
        <v>0</v>
      </c>
      <c r="K16" s="373">
        <f t="shared" si="0"/>
        <v>100</v>
      </c>
      <c r="L16" s="504" t="s">
        <v>71</v>
      </c>
      <c r="M16" s="385" t="s">
        <v>71</v>
      </c>
      <c r="N16" s="19"/>
    </row>
    <row r="17" spans="1:14" s="20" customFormat="1" ht="15" customHeight="1" x14ac:dyDescent="0.2">
      <c r="A17" s="560">
        <v>3133</v>
      </c>
      <c r="B17" s="529" t="s">
        <v>182</v>
      </c>
      <c r="C17" s="402">
        <v>0</v>
      </c>
      <c r="D17" s="403">
        <v>0</v>
      </c>
      <c r="E17" s="522">
        <v>0</v>
      </c>
      <c r="F17" s="382">
        <v>100</v>
      </c>
      <c r="G17" s="527">
        <v>26.95</v>
      </c>
      <c r="H17" s="402">
        <v>0</v>
      </c>
      <c r="I17" s="406">
        <v>100</v>
      </c>
      <c r="J17" s="525">
        <v>0</v>
      </c>
      <c r="K17" s="373">
        <f t="shared" si="0"/>
        <v>100</v>
      </c>
      <c r="L17" s="504" t="s">
        <v>71</v>
      </c>
      <c r="M17" s="385" t="s">
        <v>71</v>
      </c>
      <c r="N17" s="19"/>
    </row>
    <row r="18" spans="1:14" s="20" customFormat="1" ht="15" customHeight="1" x14ac:dyDescent="0.2">
      <c r="A18" s="560">
        <v>3269</v>
      </c>
      <c r="B18" s="529" t="s">
        <v>183</v>
      </c>
      <c r="C18" s="402">
        <v>0</v>
      </c>
      <c r="D18" s="403">
        <v>239.31</v>
      </c>
      <c r="E18" s="522">
        <v>0</v>
      </c>
      <c r="F18" s="382">
        <v>720</v>
      </c>
      <c r="G18" s="527">
        <v>431.65</v>
      </c>
      <c r="H18" s="402">
        <v>0</v>
      </c>
      <c r="I18" s="406">
        <v>0</v>
      </c>
      <c r="J18" s="525">
        <v>0</v>
      </c>
      <c r="K18" s="373">
        <f t="shared" si="0"/>
        <v>0</v>
      </c>
      <c r="L18" s="504" t="s">
        <v>71</v>
      </c>
      <c r="M18" s="385">
        <f t="shared" si="1"/>
        <v>0</v>
      </c>
      <c r="N18" s="19"/>
    </row>
    <row r="19" spans="1:14" s="20" customFormat="1" ht="15" customHeight="1" x14ac:dyDescent="0.2">
      <c r="A19" s="560">
        <v>3522</v>
      </c>
      <c r="B19" s="529" t="s">
        <v>185</v>
      </c>
      <c r="C19" s="402">
        <v>0</v>
      </c>
      <c r="D19" s="403">
        <v>226.06</v>
      </c>
      <c r="E19" s="522">
        <v>0</v>
      </c>
      <c r="F19" s="382">
        <v>0</v>
      </c>
      <c r="G19" s="527">
        <v>0</v>
      </c>
      <c r="H19" s="402">
        <v>0</v>
      </c>
      <c r="I19" s="406">
        <v>0</v>
      </c>
      <c r="J19" s="525">
        <v>0</v>
      </c>
      <c r="K19" s="373">
        <f t="shared" si="0"/>
        <v>0</v>
      </c>
      <c r="L19" s="504" t="s">
        <v>71</v>
      </c>
      <c r="M19" s="385" t="s">
        <v>71</v>
      </c>
      <c r="N19" s="19"/>
    </row>
    <row r="20" spans="1:14" s="20" customFormat="1" ht="15" customHeight="1" x14ac:dyDescent="0.2">
      <c r="A20" s="560">
        <v>3533</v>
      </c>
      <c r="B20" s="529" t="s">
        <v>186</v>
      </c>
      <c r="C20" s="402">
        <v>0</v>
      </c>
      <c r="D20" s="403">
        <v>38.159999999999997</v>
      </c>
      <c r="E20" s="522">
        <v>0</v>
      </c>
      <c r="F20" s="382">
        <v>13</v>
      </c>
      <c r="G20" s="527">
        <v>13</v>
      </c>
      <c r="H20" s="402">
        <v>0</v>
      </c>
      <c r="I20" s="406">
        <v>0</v>
      </c>
      <c r="J20" s="525">
        <v>0</v>
      </c>
      <c r="K20" s="373">
        <f t="shared" si="0"/>
        <v>0</v>
      </c>
      <c r="L20" s="504" t="s">
        <v>71</v>
      </c>
      <c r="M20" s="385">
        <f t="shared" si="1"/>
        <v>0</v>
      </c>
      <c r="N20" s="19"/>
    </row>
    <row r="21" spans="1:14" s="20" customFormat="1" ht="15" customHeight="1" x14ac:dyDescent="0.2">
      <c r="A21" s="560">
        <v>3613</v>
      </c>
      <c r="B21" s="529" t="s">
        <v>187</v>
      </c>
      <c r="C21" s="402">
        <v>0</v>
      </c>
      <c r="D21" s="403">
        <v>714.68</v>
      </c>
      <c r="E21" s="522">
        <v>0</v>
      </c>
      <c r="F21" s="382">
        <v>491.25</v>
      </c>
      <c r="G21" s="527">
        <v>285.18</v>
      </c>
      <c r="H21" s="402">
        <v>0</v>
      </c>
      <c r="I21" s="406">
        <v>100</v>
      </c>
      <c r="J21" s="525">
        <v>0</v>
      </c>
      <c r="K21" s="373">
        <f t="shared" si="0"/>
        <v>100</v>
      </c>
      <c r="L21" s="504" t="s">
        <v>71</v>
      </c>
      <c r="M21" s="385">
        <f t="shared" si="1"/>
        <v>20.356234096692109</v>
      </c>
      <c r="N21" s="19"/>
    </row>
    <row r="22" spans="1:14" s="20" customFormat="1" ht="15" customHeight="1" x14ac:dyDescent="0.2">
      <c r="A22" s="560">
        <v>3619</v>
      </c>
      <c r="B22" s="529" t="s">
        <v>188</v>
      </c>
      <c r="C22" s="402">
        <v>0</v>
      </c>
      <c r="D22" s="403">
        <v>22.81</v>
      </c>
      <c r="E22" s="522">
        <v>0</v>
      </c>
      <c r="F22" s="382">
        <v>0</v>
      </c>
      <c r="G22" s="527">
        <v>0</v>
      </c>
      <c r="H22" s="402">
        <v>0</v>
      </c>
      <c r="I22" s="406">
        <v>0</v>
      </c>
      <c r="J22" s="525">
        <v>0</v>
      </c>
      <c r="K22" s="373">
        <f t="shared" si="0"/>
        <v>0</v>
      </c>
      <c r="L22" s="504" t="s">
        <v>71</v>
      </c>
      <c r="M22" s="385" t="s">
        <v>71</v>
      </c>
      <c r="N22" s="19"/>
    </row>
    <row r="23" spans="1:14" s="20" customFormat="1" ht="15" customHeight="1" x14ac:dyDescent="0.2">
      <c r="A23" s="560">
        <v>3636</v>
      </c>
      <c r="B23" s="529" t="s">
        <v>189</v>
      </c>
      <c r="C23" s="402">
        <v>0</v>
      </c>
      <c r="D23" s="403">
        <v>210.09</v>
      </c>
      <c r="E23" s="522">
        <v>0</v>
      </c>
      <c r="F23" s="382">
        <v>105</v>
      </c>
      <c r="G23" s="527">
        <v>104.14</v>
      </c>
      <c r="H23" s="402">
        <v>0</v>
      </c>
      <c r="I23" s="406">
        <v>100</v>
      </c>
      <c r="J23" s="525">
        <v>0</v>
      </c>
      <c r="K23" s="373">
        <f t="shared" si="0"/>
        <v>100</v>
      </c>
      <c r="L23" s="504" t="s">
        <v>71</v>
      </c>
      <c r="M23" s="385">
        <f t="shared" si="1"/>
        <v>95.238095238095227</v>
      </c>
      <c r="N23" s="19"/>
    </row>
    <row r="24" spans="1:14" s="20" customFormat="1" ht="15" customHeight="1" x14ac:dyDescent="0.2">
      <c r="A24" s="560">
        <v>3742</v>
      </c>
      <c r="B24" s="529" t="s">
        <v>190</v>
      </c>
      <c r="C24" s="402">
        <v>0</v>
      </c>
      <c r="D24" s="403">
        <v>0</v>
      </c>
      <c r="E24" s="522">
        <v>0</v>
      </c>
      <c r="F24" s="382">
        <v>100</v>
      </c>
      <c r="G24" s="527">
        <v>38.79</v>
      </c>
      <c r="H24" s="402">
        <v>0</v>
      </c>
      <c r="I24" s="406">
        <v>0</v>
      </c>
      <c r="J24" s="525">
        <v>0</v>
      </c>
      <c r="K24" s="373">
        <f t="shared" si="0"/>
        <v>0</v>
      </c>
      <c r="L24" s="504" t="s">
        <v>71</v>
      </c>
      <c r="M24" s="385">
        <f t="shared" si="1"/>
        <v>0</v>
      </c>
      <c r="N24" s="19"/>
    </row>
    <row r="25" spans="1:14" s="20" customFormat="1" ht="15" customHeight="1" x14ac:dyDescent="0.2">
      <c r="A25" s="560">
        <v>4350</v>
      </c>
      <c r="B25" s="529" t="s">
        <v>191</v>
      </c>
      <c r="C25" s="402">
        <v>0</v>
      </c>
      <c r="D25" s="403">
        <v>0</v>
      </c>
      <c r="E25" s="522">
        <v>0</v>
      </c>
      <c r="F25" s="382">
        <v>184.03</v>
      </c>
      <c r="G25" s="527">
        <v>14.04</v>
      </c>
      <c r="H25" s="402">
        <v>0</v>
      </c>
      <c r="I25" s="406">
        <v>100</v>
      </c>
      <c r="J25" s="525">
        <v>0</v>
      </c>
      <c r="K25" s="373">
        <f t="shared" si="0"/>
        <v>100</v>
      </c>
      <c r="L25" s="504" t="s">
        <v>71</v>
      </c>
      <c r="M25" s="385">
        <f t="shared" si="1"/>
        <v>54.338966472857685</v>
      </c>
      <c r="N25" s="19"/>
    </row>
    <row r="26" spans="1:14" s="20" customFormat="1" ht="15" customHeight="1" x14ac:dyDescent="0.2">
      <c r="A26" s="560">
        <v>4356</v>
      </c>
      <c r="B26" s="529" t="s">
        <v>192</v>
      </c>
      <c r="C26" s="402">
        <v>0</v>
      </c>
      <c r="D26" s="403">
        <v>0</v>
      </c>
      <c r="E26" s="522">
        <v>0</v>
      </c>
      <c r="F26" s="382">
        <v>100</v>
      </c>
      <c r="G26" s="527">
        <v>53.9</v>
      </c>
      <c r="H26" s="402">
        <v>0</v>
      </c>
      <c r="I26" s="406">
        <v>100</v>
      </c>
      <c r="J26" s="525">
        <v>0</v>
      </c>
      <c r="K26" s="373">
        <f>SUM(H26:J26)</f>
        <v>100</v>
      </c>
      <c r="L26" s="504" t="s">
        <v>71</v>
      </c>
      <c r="M26" s="385">
        <f>K26/F26*100</f>
        <v>100</v>
      </c>
      <c r="N26" s="19"/>
    </row>
    <row r="27" spans="1:14" s="20" customFormat="1" ht="29.25" customHeight="1" x14ac:dyDescent="0.2">
      <c r="A27" s="560">
        <v>4399</v>
      </c>
      <c r="B27" s="529" t="s">
        <v>451</v>
      </c>
      <c r="C27" s="402">
        <v>0</v>
      </c>
      <c r="D27" s="403">
        <v>14.7</v>
      </c>
      <c r="E27" s="522">
        <v>0</v>
      </c>
      <c r="F27" s="382">
        <v>100</v>
      </c>
      <c r="G27" s="527">
        <v>11.43</v>
      </c>
      <c r="H27" s="402">
        <v>0</v>
      </c>
      <c r="I27" s="406">
        <v>0</v>
      </c>
      <c r="J27" s="525">
        <v>0</v>
      </c>
      <c r="K27" s="373">
        <f t="shared" si="0"/>
        <v>0</v>
      </c>
      <c r="L27" s="504" t="s">
        <v>71</v>
      </c>
      <c r="M27" s="385">
        <f t="shared" si="1"/>
        <v>0</v>
      </c>
      <c r="N27" s="19"/>
    </row>
    <row r="28" spans="1:14" s="20" customFormat="1" ht="15" customHeight="1" x14ac:dyDescent="0.2">
      <c r="A28" s="560">
        <v>6113</v>
      </c>
      <c r="B28" s="561" t="s">
        <v>193</v>
      </c>
      <c r="C28" s="402">
        <v>0</v>
      </c>
      <c r="D28" s="403">
        <v>73.900000000000006</v>
      </c>
      <c r="E28" s="522">
        <v>0</v>
      </c>
      <c r="F28" s="382">
        <v>175</v>
      </c>
      <c r="G28" s="527">
        <v>78.37</v>
      </c>
      <c r="H28" s="402">
        <v>0</v>
      </c>
      <c r="I28" s="406">
        <v>100</v>
      </c>
      <c r="J28" s="525">
        <v>0</v>
      </c>
      <c r="K28" s="373">
        <f t="shared" si="0"/>
        <v>100</v>
      </c>
      <c r="L28" s="504" t="s">
        <v>71</v>
      </c>
      <c r="M28" s="385">
        <f t="shared" si="1"/>
        <v>57.142857142857139</v>
      </c>
      <c r="N28" s="19"/>
    </row>
    <row r="29" spans="1:14" s="20" customFormat="1" ht="15" customHeight="1" x14ac:dyDescent="0.2">
      <c r="A29" s="560">
        <v>6172</v>
      </c>
      <c r="B29" s="529" t="s">
        <v>160</v>
      </c>
      <c r="C29" s="402">
        <v>3000</v>
      </c>
      <c r="D29" s="1026">
        <v>2336.1999999999998</v>
      </c>
      <c r="E29" s="522">
        <v>5000</v>
      </c>
      <c r="F29" s="382">
        <v>8242.07</v>
      </c>
      <c r="G29" s="527">
        <v>2406.0300000000002</v>
      </c>
      <c r="H29" s="405">
        <v>2500</v>
      </c>
      <c r="I29" s="406">
        <v>500</v>
      </c>
      <c r="J29" s="525">
        <v>0</v>
      </c>
      <c r="K29" s="373">
        <f t="shared" si="0"/>
        <v>3000</v>
      </c>
      <c r="L29" s="504">
        <f>K29/E29*100</f>
        <v>60</v>
      </c>
      <c r="M29" s="385">
        <f t="shared" ref="M29:M32" si="2">K29/F29*100</f>
        <v>36.398623161414548</v>
      </c>
      <c r="N29" s="19"/>
    </row>
    <row r="30" spans="1:14" s="20" customFormat="1" ht="29.25" customHeight="1" x14ac:dyDescent="0.2">
      <c r="A30" s="560">
        <v>6172</v>
      </c>
      <c r="B30" s="529" t="s">
        <v>172</v>
      </c>
      <c r="C30" s="402">
        <v>0</v>
      </c>
      <c r="D30" s="403">
        <v>0</v>
      </c>
      <c r="E30" s="522">
        <v>550</v>
      </c>
      <c r="F30" s="382">
        <v>913</v>
      </c>
      <c r="G30" s="562">
        <v>167.38</v>
      </c>
      <c r="H30" s="402">
        <v>0</v>
      </c>
      <c r="I30" s="406">
        <v>0</v>
      </c>
      <c r="J30" s="525">
        <v>600</v>
      </c>
      <c r="K30" s="373">
        <f t="shared" si="0"/>
        <v>600</v>
      </c>
      <c r="L30" s="504">
        <f>K30/E30*100</f>
        <v>109.09090909090908</v>
      </c>
      <c r="M30" s="385">
        <f t="shared" si="2"/>
        <v>65.71741511500548</v>
      </c>
      <c r="N30" s="19"/>
    </row>
    <row r="31" spans="1:14" s="20" customFormat="1" ht="15" customHeight="1" thickBot="1" x14ac:dyDescent="0.25">
      <c r="A31" s="563">
        <v>6172</v>
      </c>
      <c r="B31" s="564" t="s">
        <v>173</v>
      </c>
      <c r="C31" s="402">
        <v>0</v>
      </c>
      <c r="D31" s="403">
        <v>0</v>
      </c>
      <c r="E31" s="522">
        <v>200</v>
      </c>
      <c r="F31" s="382">
        <v>200</v>
      </c>
      <c r="G31" s="527">
        <v>0</v>
      </c>
      <c r="H31" s="402">
        <v>0</v>
      </c>
      <c r="I31" s="406">
        <v>0</v>
      </c>
      <c r="J31" s="525">
        <v>150</v>
      </c>
      <c r="K31" s="373">
        <f t="shared" si="0"/>
        <v>150</v>
      </c>
      <c r="L31" s="504">
        <f>K31/E31*100</f>
        <v>75</v>
      </c>
      <c r="M31" s="385">
        <f t="shared" si="2"/>
        <v>75</v>
      </c>
      <c r="N31" s="19"/>
    </row>
    <row r="32" spans="1:14" s="22" customFormat="1" ht="20.100000000000001" customHeight="1" thickBot="1" x14ac:dyDescent="0.3">
      <c r="A32" s="963"/>
      <c r="B32" s="974" t="s">
        <v>99</v>
      </c>
      <c r="C32" s="956">
        <f t="shared" ref="C32:J32" si="3">SUM(C9:C31)</f>
        <v>3000</v>
      </c>
      <c r="D32" s="997">
        <f>SUM(D9:D31)</f>
        <v>4528.76</v>
      </c>
      <c r="E32" s="976">
        <f t="shared" si="3"/>
        <v>5750</v>
      </c>
      <c r="F32" s="1006">
        <f>SUM(F9:F31)</f>
        <v>13356.06</v>
      </c>
      <c r="G32" s="1007">
        <f>SUM(G9:G31)</f>
        <v>3991.6300000000006</v>
      </c>
      <c r="H32" s="1008">
        <f>SUM(H9:H31)</f>
        <v>2500</v>
      </c>
      <c r="I32" s="1009">
        <f t="shared" si="3"/>
        <v>1500</v>
      </c>
      <c r="J32" s="1010">
        <f t="shared" si="3"/>
        <v>750</v>
      </c>
      <c r="K32" s="165">
        <f>SUM(K9:K31)</f>
        <v>4750</v>
      </c>
      <c r="L32" s="961">
        <f>K32/E32*100</f>
        <v>82.608695652173907</v>
      </c>
      <c r="M32" s="962">
        <f t="shared" si="2"/>
        <v>35.564380513414882</v>
      </c>
      <c r="N32" s="21"/>
    </row>
    <row r="33" spans="1:14" ht="15" customHeight="1" x14ac:dyDescent="0.25">
      <c r="A33" s="23"/>
      <c r="B33" s="23"/>
      <c r="C33" s="910"/>
      <c r="D33" s="909"/>
      <c r="E33" s="910"/>
      <c r="F33" s="913"/>
      <c r="G33" s="913"/>
      <c r="H33" s="237"/>
      <c r="I33" s="237"/>
      <c r="J33" s="237"/>
      <c r="K33" s="237"/>
      <c r="L33" s="28"/>
      <c r="M33" s="29"/>
      <c r="N33" s="19"/>
    </row>
    <row r="34" spans="1:14" ht="15" customHeight="1" x14ac:dyDescent="0.25">
      <c r="A34" s="23"/>
      <c r="B34" s="23"/>
      <c r="C34" s="910"/>
      <c r="D34" s="909"/>
      <c r="E34" s="910"/>
      <c r="F34" s="909"/>
      <c r="G34" s="909"/>
      <c r="H34" s="237"/>
      <c r="I34" s="237"/>
      <c r="J34" s="237"/>
      <c r="K34" s="237"/>
      <c r="L34" s="28"/>
      <c r="M34" s="29"/>
      <c r="N34" s="19"/>
    </row>
    <row r="35" spans="1:14" x14ac:dyDescent="0.2">
      <c r="F35" s="251"/>
      <c r="G35" s="251"/>
      <c r="H35" s="252"/>
    </row>
    <row r="36" spans="1:14" x14ac:dyDescent="0.2">
      <c r="F36" s="251"/>
      <c r="G36" s="251"/>
      <c r="H36" s="252"/>
    </row>
    <row r="37" spans="1:14" x14ac:dyDescent="0.2">
      <c r="F37" s="251"/>
      <c r="G37" s="251"/>
      <c r="H37" s="252"/>
    </row>
    <row r="38" spans="1:14" x14ac:dyDescent="0.2">
      <c r="F38" s="251"/>
      <c r="G38" s="251"/>
      <c r="H38" s="252"/>
    </row>
    <row r="39" spans="1:14" x14ac:dyDescent="0.2">
      <c r="F39" s="251"/>
      <c r="G39" s="251"/>
      <c r="H39" s="252"/>
    </row>
    <row r="40" spans="1:14" x14ac:dyDescent="0.2">
      <c r="F40" s="254"/>
      <c r="G40" s="254"/>
      <c r="H40" s="252"/>
    </row>
    <row r="41" spans="1:14" x14ac:dyDescent="0.2">
      <c r="F41" s="251"/>
      <c r="G41" s="251"/>
      <c r="H41" s="252"/>
    </row>
    <row r="42" spans="1:14" x14ac:dyDescent="0.2">
      <c r="F42" s="251"/>
      <c r="G42" s="251"/>
      <c r="H42" s="252"/>
    </row>
    <row r="43" spans="1:14" x14ac:dyDescent="0.2">
      <c r="F43" s="251"/>
      <c r="G43" s="251"/>
      <c r="H43" s="252"/>
    </row>
  </sheetData>
  <sortState ref="A9:M36">
    <sortCondition ref="A9:A36"/>
  </sortState>
  <mergeCells count="8">
    <mergeCell ref="A2:M2"/>
    <mergeCell ref="A6:A7"/>
    <mergeCell ref="B6:B7"/>
    <mergeCell ref="C6:D6"/>
    <mergeCell ref="E6:G6"/>
    <mergeCell ref="H6:K6"/>
    <mergeCell ref="L6:L7"/>
    <mergeCell ref="M6:M7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RowHeight="12.75" x14ac:dyDescent="0.2"/>
  <cols>
    <col min="1" max="1" width="7.7109375" style="1" customWidth="1"/>
    <col min="2" max="2" width="47.7109375" style="1" customWidth="1"/>
    <col min="3" max="3" width="14.7109375" style="2" customWidth="1"/>
    <col min="4" max="4" width="14.7109375" style="3" customWidth="1"/>
    <col min="5" max="5" width="14.7109375" style="2" customWidth="1"/>
    <col min="6" max="7" width="14.7109375" style="3" customWidth="1"/>
    <col min="8" max="10" width="14.7109375" style="2" customWidth="1"/>
    <col min="11" max="11" width="13.85546875" style="4" customWidth="1"/>
    <col min="12" max="12" width="10.140625" style="5" bestFit="1" customWidth="1"/>
    <col min="13" max="13" width="10.140625" style="5" customWidth="1"/>
    <col min="14" max="256" width="9.140625" style="1"/>
    <col min="257" max="257" width="6.7109375" style="1" customWidth="1"/>
    <col min="258" max="258" width="41.5703125" style="1" customWidth="1"/>
    <col min="259" max="266" width="14.7109375" style="1" customWidth="1"/>
    <col min="267" max="267" width="16.7109375" style="1" customWidth="1"/>
    <col min="268" max="268" width="10.140625" style="1" bestFit="1" customWidth="1"/>
    <col min="269" max="269" width="10.140625" style="1" customWidth="1"/>
    <col min="270" max="512" width="9.140625" style="1"/>
    <col min="513" max="513" width="6.7109375" style="1" customWidth="1"/>
    <col min="514" max="514" width="41.5703125" style="1" customWidth="1"/>
    <col min="515" max="522" width="14.7109375" style="1" customWidth="1"/>
    <col min="523" max="523" width="16.7109375" style="1" customWidth="1"/>
    <col min="524" max="524" width="10.140625" style="1" bestFit="1" customWidth="1"/>
    <col min="525" max="525" width="10.140625" style="1" customWidth="1"/>
    <col min="526" max="768" width="9.140625" style="1"/>
    <col min="769" max="769" width="6.7109375" style="1" customWidth="1"/>
    <col min="770" max="770" width="41.5703125" style="1" customWidth="1"/>
    <col min="771" max="778" width="14.7109375" style="1" customWidth="1"/>
    <col min="779" max="779" width="16.7109375" style="1" customWidth="1"/>
    <col min="780" max="780" width="10.140625" style="1" bestFit="1" customWidth="1"/>
    <col min="781" max="781" width="10.140625" style="1" customWidth="1"/>
    <col min="782" max="1024" width="9.140625" style="1"/>
    <col min="1025" max="1025" width="6.7109375" style="1" customWidth="1"/>
    <col min="1026" max="1026" width="41.5703125" style="1" customWidth="1"/>
    <col min="1027" max="1034" width="14.7109375" style="1" customWidth="1"/>
    <col min="1035" max="1035" width="16.7109375" style="1" customWidth="1"/>
    <col min="1036" max="1036" width="10.140625" style="1" bestFit="1" customWidth="1"/>
    <col min="1037" max="1037" width="10.140625" style="1" customWidth="1"/>
    <col min="1038" max="1280" width="9.140625" style="1"/>
    <col min="1281" max="1281" width="6.7109375" style="1" customWidth="1"/>
    <col min="1282" max="1282" width="41.5703125" style="1" customWidth="1"/>
    <col min="1283" max="1290" width="14.7109375" style="1" customWidth="1"/>
    <col min="1291" max="1291" width="16.7109375" style="1" customWidth="1"/>
    <col min="1292" max="1292" width="10.140625" style="1" bestFit="1" customWidth="1"/>
    <col min="1293" max="1293" width="10.140625" style="1" customWidth="1"/>
    <col min="1294" max="1536" width="9.140625" style="1"/>
    <col min="1537" max="1537" width="6.7109375" style="1" customWidth="1"/>
    <col min="1538" max="1538" width="41.5703125" style="1" customWidth="1"/>
    <col min="1539" max="1546" width="14.7109375" style="1" customWidth="1"/>
    <col min="1547" max="1547" width="16.7109375" style="1" customWidth="1"/>
    <col min="1548" max="1548" width="10.140625" style="1" bestFit="1" customWidth="1"/>
    <col min="1549" max="1549" width="10.140625" style="1" customWidth="1"/>
    <col min="1550" max="1792" width="9.140625" style="1"/>
    <col min="1793" max="1793" width="6.7109375" style="1" customWidth="1"/>
    <col min="1794" max="1794" width="41.5703125" style="1" customWidth="1"/>
    <col min="1795" max="1802" width="14.7109375" style="1" customWidth="1"/>
    <col min="1803" max="1803" width="16.7109375" style="1" customWidth="1"/>
    <col min="1804" max="1804" width="10.140625" style="1" bestFit="1" customWidth="1"/>
    <col min="1805" max="1805" width="10.140625" style="1" customWidth="1"/>
    <col min="1806" max="2048" width="9.140625" style="1"/>
    <col min="2049" max="2049" width="6.7109375" style="1" customWidth="1"/>
    <col min="2050" max="2050" width="41.5703125" style="1" customWidth="1"/>
    <col min="2051" max="2058" width="14.7109375" style="1" customWidth="1"/>
    <col min="2059" max="2059" width="16.7109375" style="1" customWidth="1"/>
    <col min="2060" max="2060" width="10.140625" style="1" bestFit="1" customWidth="1"/>
    <col min="2061" max="2061" width="10.140625" style="1" customWidth="1"/>
    <col min="2062" max="2304" width="9.140625" style="1"/>
    <col min="2305" max="2305" width="6.7109375" style="1" customWidth="1"/>
    <col min="2306" max="2306" width="41.5703125" style="1" customWidth="1"/>
    <col min="2307" max="2314" width="14.7109375" style="1" customWidth="1"/>
    <col min="2315" max="2315" width="16.7109375" style="1" customWidth="1"/>
    <col min="2316" max="2316" width="10.140625" style="1" bestFit="1" customWidth="1"/>
    <col min="2317" max="2317" width="10.140625" style="1" customWidth="1"/>
    <col min="2318" max="2560" width="9.140625" style="1"/>
    <col min="2561" max="2561" width="6.7109375" style="1" customWidth="1"/>
    <col min="2562" max="2562" width="41.5703125" style="1" customWidth="1"/>
    <col min="2563" max="2570" width="14.7109375" style="1" customWidth="1"/>
    <col min="2571" max="2571" width="16.7109375" style="1" customWidth="1"/>
    <col min="2572" max="2572" width="10.140625" style="1" bestFit="1" customWidth="1"/>
    <col min="2573" max="2573" width="10.140625" style="1" customWidth="1"/>
    <col min="2574" max="2816" width="9.140625" style="1"/>
    <col min="2817" max="2817" width="6.7109375" style="1" customWidth="1"/>
    <col min="2818" max="2818" width="41.5703125" style="1" customWidth="1"/>
    <col min="2819" max="2826" width="14.7109375" style="1" customWidth="1"/>
    <col min="2827" max="2827" width="16.7109375" style="1" customWidth="1"/>
    <col min="2828" max="2828" width="10.140625" style="1" bestFit="1" customWidth="1"/>
    <col min="2829" max="2829" width="10.140625" style="1" customWidth="1"/>
    <col min="2830" max="3072" width="9.140625" style="1"/>
    <col min="3073" max="3073" width="6.7109375" style="1" customWidth="1"/>
    <col min="3074" max="3074" width="41.5703125" style="1" customWidth="1"/>
    <col min="3075" max="3082" width="14.7109375" style="1" customWidth="1"/>
    <col min="3083" max="3083" width="16.7109375" style="1" customWidth="1"/>
    <col min="3084" max="3084" width="10.140625" style="1" bestFit="1" customWidth="1"/>
    <col min="3085" max="3085" width="10.140625" style="1" customWidth="1"/>
    <col min="3086" max="3328" width="9.140625" style="1"/>
    <col min="3329" max="3329" width="6.7109375" style="1" customWidth="1"/>
    <col min="3330" max="3330" width="41.5703125" style="1" customWidth="1"/>
    <col min="3331" max="3338" width="14.7109375" style="1" customWidth="1"/>
    <col min="3339" max="3339" width="16.7109375" style="1" customWidth="1"/>
    <col min="3340" max="3340" width="10.140625" style="1" bestFit="1" customWidth="1"/>
    <col min="3341" max="3341" width="10.140625" style="1" customWidth="1"/>
    <col min="3342" max="3584" width="9.140625" style="1"/>
    <col min="3585" max="3585" width="6.7109375" style="1" customWidth="1"/>
    <col min="3586" max="3586" width="41.5703125" style="1" customWidth="1"/>
    <col min="3587" max="3594" width="14.7109375" style="1" customWidth="1"/>
    <col min="3595" max="3595" width="16.7109375" style="1" customWidth="1"/>
    <col min="3596" max="3596" width="10.140625" style="1" bestFit="1" customWidth="1"/>
    <col min="3597" max="3597" width="10.140625" style="1" customWidth="1"/>
    <col min="3598" max="3840" width="9.140625" style="1"/>
    <col min="3841" max="3841" width="6.7109375" style="1" customWidth="1"/>
    <col min="3842" max="3842" width="41.5703125" style="1" customWidth="1"/>
    <col min="3843" max="3850" width="14.7109375" style="1" customWidth="1"/>
    <col min="3851" max="3851" width="16.7109375" style="1" customWidth="1"/>
    <col min="3852" max="3852" width="10.140625" style="1" bestFit="1" customWidth="1"/>
    <col min="3853" max="3853" width="10.140625" style="1" customWidth="1"/>
    <col min="3854" max="4096" width="9.140625" style="1"/>
    <col min="4097" max="4097" width="6.7109375" style="1" customWidth="1"/>
    <col min="4098" max="4098" width="41.5703125" style="1" customWidth="1"/>
    <col min="4099" max="4106" width="14.7109375" style="1" customWidth="1"/>
    <col min="4107" max="4107" width="16.7109375" style="1" customWidth="1"/>
    <col min="4108" max="4108" width="10.140625" style="1" bestFit="1" customWidth="1"/>
    <col min="4109" max="4109" width="10.140625" style="1" customWidth="1"/>
    <col min="4110" max="4352" width="9.140625" style="1"/>
    <col min="4353" max="4353" width="6.7109375" style="1" customWidth="1"/>
    <col min="4354" max="4354" width="41.5703125" style="1" customWidth="1"/>
    <col min="4355" max="4362" width="14.7109375" style="1" customWidth="1"/>
    <col min="4363" max="4363" width="16.7109375" style="1" customWidth="1"/>
    <col min="4364" max="4364" width="10.140625" style="1" bestFit="1" customWidth="1"/>
    <col min="4365" max="4365" width="10.140625" style="1" customWidth="1"/>
    <col min="4366" max="4608" width="9.140625" style="1"/>
    <col min="4609" max="4609" width="6.7109375" style="1" customWidth="1"/>
    <col min="4610" max="4610" width="41.5703125" style="1" customWidth="1"/>
    <col min="4611" max="4618" width="14.7109375" style="1" customWidth="1"/>
    <col min="4619" max="4619" width="16.7109375" style="1" customWidth="1"/>
    <col min="4620" max="4620" width="10.140625" style="1" bestFit="1" customWidth="1"/>
    <col min="4621" max="4621" width="10.140625" style="1" customWidth="1"/>
    <col min="4622" max="4864" width="9.140625" style="1"/>
    <col min="4865" max="4865" width="6.7109375" style="1" customWidth="1"/>
    <col min="4866" max="4866" width="41.5703125" style="1" customWidth="1"/>
    <col min="4867" max="4874" width="14.7109375" style="1" customWidth="1"/>
    <col min="4875" max="4875" width="16.7109375" style="1" customWidth="1"/>
    <col min="4876" max="4876" width="10.140625" style="1" bestFit="1" customWidth="1"/>
    <col min="4877" max="4877" width="10.140625" style="1" customWidth="1"/>
    <col min="4878" max="5120" width="9.140625" style="1"/>
    <col min="5121" max="5121" width="6.7109375" style="1" customWidth="1"/>
    <col min="5122" max="5122" width="41.5703125" style="1" customWidth="1"/>
    <col min="5123" max="5130" width="14.7109375" style="1" customWidth="1"/>
    <col min="5131" max="5131" width="16.7109375" style="1" customWidth="1"/>
    <col min="5132" max="5132" width="10.140625" style="1" bestFit="1" customWidth="1"/>
    <col min="5133" max="5133" width="10.140625" style="1" customWidth="1"/>
    <col min="5134" max="5376" width="9.140625" style="1"/>
    <col min="5377" max="5377" width="6.7109375" style="1" customWidth="1"/>
    <col min="5378" max="5378" width="41.5703125" style="1" customWidth="1"/>
    <col min="5379" max="5386" width="14.7109375" style="1" customWidth="1"/>
    <col min="5387" max="5387" width="16.7109375" style="1" customWidth="1"/>
    <col min="5388" max="5388" width="10.140625" style="1" bestFit="1" customWidth="1"/>
    <col min="5389" max="5389" width="10.140625" style="1" customWidth="1"/>
    <col min="5390" max="5632" width="9.140625" style="1"/>
    <col min="5633" max="5633" width="6.7109375" style="1" customWidth="1"/>
    <col min="5634" max="5634" width="41.5703125" style="1" customWidth="1"/>
    <col min="5635" max="5642" width="14.7109375" style="1" customWidth="1"/>
    <col min="5643" max="5643" width="16.7109375" style="1" customWidth="1"/>
    <col min="5644" max="5644" width="10.140625" style="1" bestFit="1" customWidth="1"/>
    <col min="5645" max="5645" width="10.140625" style="1" customWidth="1"/>
    <col min="5646" max="5888" width="9.140625" style="1"/>
    <col min="5889" max="5889" width="6.7109375" style="1" customWidth="1"/>
    <col min="5890" max="5890" width="41.5703125" style="1" customWidth="1"/>
    <col min="5891" max="5898" width="14.7109375" style="1" customWidth="1"/>
    <col min="5899" max="5899" width="16.7109375" style="1" customWidth="1"/>
    <col min="5900" max="5900" width="10.140625" style="1" bestFit="1" customWidth="1"/>
    <col min="5901" max="5901" width="10.140625" style="1" customWidth="1"/>
    <col min="5902" max="6144" width="9.140625" style="1"/>
    <col min="6145" max="6145" width="6.7109375" style="1" customWidth="1"/>
    <col min="6146" max="6146" width="41.5703125" style="1" customWidth="1"/>
    <col min="6147" max="6154" width="14.7109375" style="1" customWidth="1"/>
    <col min="6155" max="6155" width="16.7109375" style="1" customWidth="1"/>
    <col min="6156" max="6156" width="10.140625" style="1" bestFit="1" customWidth="1"/>
    <col min="6157" max="6157" width="10.140625" style="1" customWidth="1"/>
    <col min="6158" max="6400" width="9.140625" style="1"/>
    <col min="6401" max="6401" width="6.7109375" style="1" customWidth="1"/>
    <col min="6402" max="6402" width="41.5703125" style="1" customWidth="1"/>
    <col min="6403" max="6410" width="14.7109375" style="1" customWidth="1"/>
    <col min="6411" max="6411" width="16.7109375" style="1" customWidth="1"/>
    <col min="6412" max="6412" width="10.140625" style="1" bestFit="1" customWidth="1"/>
    <col min="6413" max="6413" width="10.140625" style="1" customWidth="1"/>
    <col min="6414" max="6656" width="9.140625" style="1"/>
    <col min="6657" max="6657" width="6.7109375" style="1" customWidth="1"/>
    <col min="6658" max="6658" width="41.5703125" style="1" customWidth="1"/>
    <col min="6659" max="6666" width="14.7109375" style="1" customWidth="1"/>
    <col min="6667" max="6667" width="16.7109375" style="1" customWidth="1"/>
    <col min="6668" max="6668" width="10.140625" style="1" bestFit="1" customWidth="1"/>
    <col min="6669" max="6669" width="10.140625" style="1" customWidth="1"/>
    <col min="6670" max="6912" width="9.140625" style="1"/>
    <col min="6913" max="6913" width="6.7109375" style="1" customWidth="1"/>
    <col min="6914" max="6914" width="41.5703125" style="1" customWidth="1"/>
    <col min="6915" max="6922" width="14.7109375" style="1" customWidth="1"/>
    <col min="6923" max="6923" width="16.7109375" style="1" customWidth="1"/>
    <col min="6924" max="6924" width="10.140625" style="1" bestFit="1" customWidth="1"/>
    <col min="6925" max="6925" width="10.140625" style="1" customWidth="1"/>
    <col min="6926" max="7168" width="9.140625" style="1"/>
    <col min="7169" max="7169" width="6.7109375" style="1" customWidth="1"/>
    <col min="7170" max="7170" width="41.5703125" style="1" customWidth="1"/>
    <col min="7171" max="7178" width="14.7109375" style="1" customWidth="1"/>
    <col min="7179" max="7179" width="16.7109375" style="1" customWidth="1"/>
    <col min="7180" max="7180" width="10.140625" style="1" bestFit="1" customWidth="1"/>
    <col min="7181" max="7181" width="10.140625" style="1" customWidth="1"/>
    <col min="7182" max="7424" width="9.140625" style="1"/>
    <col min="7425" max="7425" width="6.7109375" style="1" customWidth="1"/>
    <col min="7426" max="7426" width="41.5703125" style="1" customWidth="1"/>
    <col min="7427" max="7434" width="14.7109375" style="1" customWidth="1"/>
    <col min="7435" max="7435" width="16.7109375" style="1" customWidth="1"/>
    <col min="7436" max="7436" width="10.140625" style="1" bestFit="1" customWidth="1"/>
    <col min="7437" max="7437" width="10.140625" style="1" customWidth="1"/>
    <col min="7438" max="7680" width="9.140625" style="1"/>
    <col min="7681" max="7681" width="6.7109375" style="1" customWidth="1"/>
    <col min="7682" max="7682" width="41.5703125" style="1" customWidth="1"/>
    <col min="7683" max="7690" width="14.7109375" style="1" customWidth="1"/>
    <col min="7691" max="7691" width="16.7109375" style="1" customWidth="1"/>
    <col min="7692" max="7692" width="10.140625" style="1" bestFit="1" customWidth="1"/>
    <col min="7693" max="7693" width="10.140625" style="1" customWidth="1"/>
    <col min="7694" max="7936" width="9.140625" style="1"/>
    <col min="7937" max="7937" width="6.7109375" style="1" customWidth="1"/>
    <col min="7938" max="7938" width="41.5703125" style="1" customWidth="1"/>
    <col min="7939" max="7946" width="14.7109375" style="1" customWidth="1"/>
    <col min="7947" max="7947" width="16.7109375" style="1" customWidth="1"/>
    <col min="7948" max="7948" width="10.140625" style="1" bestFit="1" customWidth="1"/>
    <col min="7949" max="7949" width="10.140625" style="1" customWidth="1"/>
    <col min="7950" max="8192" width="9.140625" style="1"/>
    <col min="8193" max="8193" width="6.7109375" style="1" customWidth="1"/>
    <col min="8194" max="8194" width="41.5703125" style="1" customWidth="1"/>
    <col min="8195" max="8202" width="14.7109375" style="1" customWidth="1"/>
    <col min="8203" max="8203" width="16.7109375" style="1" customWidth="1"/>
    <col min="8204" max="8204" width="10.140625" style="1" bestFit="1" customWidth="1"/>
    <col min="8205" max="8205" width="10.140625" style="1" customWidth="1"/>
    <col min="8206" max="8448" width="9.140625" style="1"/>
    <col min="8449" max="8449" width="6.7109375" style="1" customWidth="1"/>
    <col min="8450" max="8450" width="41.5703125" style="1" customWidth="1"/>
    <col min="8451" max="8458" width="14.7109375" style="1" customWidth="1"/>
    <col min="8459" max="8459" width="16.7109375" style="1" customWidth="1"/>
    <col min="8460" max="8460" width="10.140625" style="1" bestFit="1" customWidth="1"/>
    <col min="8461" max="8461" width="10.140625" style="1" customWidth="1"/>
    <col min="8462" max="8704" width="9.140625" style="1"/>
    <col min="8705" max="8705" width="6.7109375" style="1" customWidth="1"/>
    <col min="8706" max="8706" width="41.5703125" style="1" customWidth="1"/>
    <col min="8707" max="8714" width="14.7109375" style="1" customWidth="1"/>
    <col min="8715" max="8715" width="16.7109375" style="1" customWidth="1"/>
    <col min="8716" max="8716" width="10.140625" style="1" bestFit="1" customWidth="1"/>
    <col min="8717" max="8717" width="10.140625" style="1" customWidth="1"/>
    <col min="8718" max="8960" width="9.140625" style="1"/>
    <col min="8961" max="8961" width="6.7109375" style="1" customWidth="1"/>
    <col min="8962" max="8962" width="41.5703125" style="1" customWidth="1"/>
    <col min="8963" max="8970" width="14.7109375" style="1" customWidth="1"/>
    <col min="8971" max="8971" width="16.7109375" style="1" customWidth="1"/>
    <col min="8972" max="8972" width="10.140625" style="1" bestFit="1" customWidth="1"/>
    <col min="8973" max="8973" width="10.140625" style="1" customWidth="1"/>
    <col min="8974" max="9216" width="9.140625" style="1"/>
    <col min="9217" max="9217" width="6.7109375" style="1" customWidth="1"/>
    <col min="9218" max="9218" width="41.5703125" style="1" customWidth="1"/>
    <col min="9219" max="9226" width="14.7109375" style="1" customWidth="1"/>
    <col min="9227" max="9227" width="16.7109375" style="1" customWidth="1"/>
    <col min="9228" max="9228" width="10.140625" style="1" bestFit="1" customWidth="1"/>
    <col min="9229" max="9229" width="10.140625" style="1" customWidth="1"/>
    <col min="9230" max="9472" width="9.140625" style="1"/>
    <col min="9473" max="9473" width="6.7109375" style="1" customWidth="1"/>
    <col min="9474" max="9474" width="41.5703125" style="1" customWidth="1"/>
    <col min="9475" max="9482" width="14.7109375" style="1" customWidth="1"/>
    <col min="9483" max="9483" width="16.7109375" style="1" customWidth="1"/>
    <col min="9484" max="9484" width="10.140625" style="1" bestFit="1" customWidth="1"/>
    <col min="9485" max="9485" width="10.140625" style="1" customWidth="1"/>
    <col min="9486" max="9728" width="9.140625" style="1"/>
    <col min="9729" max="9729" width="6.7109375" style="1" customWidth="1"/>
    <col min="9730" max="9730" width="41.5703125" style="1" customWidth="1"/>
    <col min="9731" max="9738" width="14.7109375" style="1" customWidth="1"/>
    <col min="9739" max="9739" width="16.7109375" style="1" customWidth="1"/>
    <col min="9740" max="9740" width="10.140625" style="1" bestFit="1" customWidth="1"/>
    <col min="9741" max="9741" width="10.140625" style="1" customWidth="1"/>
    <col min="9742" max="9984" width="9.140625" style="1"/>
    <col min="9985" max="9985" width="6.7109375" style="1" customWidth="1"/>
    <col min="9986" max="9986" width="41.5703125" style="1" customWidth="1"/>
    <col min="9987" max="9994" width="14.7109375" style="1" customWidth="1"/>
    <col min="9995" max="9995" width="16.7109375" style="1" customWidth="1"/>
    <col min="9996" max="9996" width="10.140625" style="1" bestFit="1" customWidth="1"/>
    <col min="9997" max="9997" width="10.140625" style="1" customWidth="1"/>
    <col min="9998" max="10240" width="9.140625" style="1"/>
    <col min="10241" max="10241" width="6.7109375" style="1" customWidth="1"/>
    <col min="10242" max="10242" width="41.5703125" style="1" customWidth="1"/>
    <col min="10243" max="10250" width="14.7109375" style="1" customWidth="1"/>
    <col min="10251" max="10251" width="16.7109375" style="1" customWidth="1"/>
    <col min="10252" max="10252" width="10.140625" style="1" bestFit="1" customWidth="1"/>
    <col min="10253" max="10253" width="10.140625" style="1" customWidth="1"/>
    <col min="10254" max="10496" width="9.140625" style="1"/>
    <col min="10497" max="10497" width="6.7109375" style="1" customWidth="1"/>
    <col min="10498" max="10498" width="41.5703125" style="1" customWidth="1"/>
    <col min="10499" max="10506" width="14.7109375" style="1" customWidth="1"/>
    <col min="10507" max="10507" width="16.7109375" style="1" customWidth="1"/>
    <col min="10508" max="10508" width="10.140625" style="1" bestFit="1" customWidth="1"/>
    <col min="10509" max="10509" width="10.140625" style="1" customWidth="1"/>
    <col min="10510" max="10752" width="9.140625" style="1"/>
    <col min="10753" max="10753" width="6.7109375" style="1" customWidth="1"/>
    <col min="10754" max="10754" width="41.5703125" style="1" customWidth="1"/>
    <col min="10755" max="10762" width="14.7109375" style="1" customWidth="1"/>
    <col min="10763" max="10763" width="16.7109375" style="1" customWidth="1"/>
    <col min="10764" max="10764" width="10.140625" style="1" bestFit="1" customWidth="1"/>
    <col min="10765" max="10765" width="10.140625" style="1" customWidth="1"/>
    <col min="10766" max="11008" width="9.140625" style="1"/>
    <col min="11009" max="11009" width="6.7109375" style="1" customWidth="1"/>
    <col min="11010" max="11010" width="41.5703125" style="1" customWidth="1"/>
    <col min="11011" max="11018" width="14.7109375" style="1" customWidth="1"/>
    <col min="11019" max="11019" width="16.7109375" style="1" customWidth="1"/>
    <col min="11020" max="11020" width="10.140625" style="1" bestFit="1" customWidth="1"/>
    <col min="11021" max="11021" width="10.140625" style="1" customWidth="1"/>
    <col min="11022" max="11264" width="9.140625" style="1"/>
    <col min="11265" max="11265" width="6.7109375" style="1" customWidth="1"/>
    <col min="11266" max="11266" width="41.5703125" style="1" customWidth="1"/>
    <col min="11267" max="11274" width="14.7109375" style="1" customWidth="1"/>
    <col min="11275" max="11275" width="16.7109375" style="1" customWidth="1"/>
    <col min="11276" max="11276" width="10.140625" style="1" bestFit="1" customWidth="1"/>
    <col min="11277" max="11277" width="10.140625" style="1" customWidth="1"/>
    <col min="11278" max="11520" width="9.140625" style="1"/>
    <col min="11521" max="11521" width="6.7109375" style="1" customWidth="1"/>
    <col min="11522" max="11522" width="41.5703125" style="1" customWidth="1"/>
    <col min="11523" max="11530" width="14.7109375" style="1" customWidth="1"/>
    <col min="11531" max="11531" width="16.7109375" style="1" customWidth="1"/>
    <col min="11532" max="11532" width="10.140625" style="1" bestFit="1" customWidth="1"/>
    <col min="11533" max="11533" width="10.140625" style="1" customWidth="1"/>
    <col min="11534" max="11776" width="9.140625" style="1"/>
    <col min="11777" max="11777" width="6.7109375" style="1" customWidth="1"/>
    <col min="11778" max="11778" width="41.5703125" style="1" customWidth="1"/>
    <col min="11779" max="11786" width="14.7109375" style="1" customWidth="1"/>
    <col min="11787" max="11787" width="16.7109375" style="1" customWidth="1"/>
    <col min="11788" max="11788" width="10.140625" style="1" bestFit="1" customWidth="1"/>
    <col min="11789" max="11789" width="10.140625" style="1" customWidth="1"/>
    <col min="11790" max="12032" width="9.140625" style="1"/>
    <col min="12033" max="12033" width="6.7109375" style="1" customWidth="1"/>
    <col min="12034" max="12034" width="41.5703125" style="1" customWidth="1"/>
    <col min="12035" max="12042" width="14.7109375" style="1" customWidth="1"/>
    <col min="12043" max="12043" width="16.7109375" style="1" customWidth="1"/>
    <col min="12044" max="12044" width="10.140625" style="1" bestFit="1" customWidth="1"/>
    <col min="12045" max="12045" width="10.140625" style="1" customWidth="1"/>
    <col min="12046" max="12288" width="9.140625" style="1"/>
    <col min="12289" max="12289" width="6.7109375" style="1" customWidth="1"/>
    <col min="12290" max="12290" width="41.5703125" style="1" customWidth="1"/>
    <col min="12291" max="12298" width="14.7109375" style="1" customWidth="1"/>
    <col min="12299" max="12299" width="16.7109375" style="1" customWidth="1"/>
    <col min="12300" max="12300" width="10.140625" style="1" bestFit="1" customWidth="1"/>
    <col min="12301" max="12301" width="10.140625" style="1" customWidth="1"/>
    <col min="12302" max="12544" width="9.140625" style="1"/>
    <col min="12545" max="12545" width="6.7109375" style="1" customWidth="1"/>
    <col min="12546" max="12546" width="41.5703125" style="1" customWidth="1"/>
    <col min="12547" max="12554" width="14.7109375" style="1" customWidth="1"/>
    <col min="12555" max="12555" width="16.7109375" style="1" customWidth="1"/>
    <col min="12556" max="12556" width="10.140625" style="1" bestFit="1" customWidth="1"/>
    <col min="12557" max="12557" width="10.140625" style="1" customWidth="1"/>
    <col min="12558" max="12800" width="9.140625" style="1"/>
    <col min="12801" max="12801" width="6.7109375" style="1" customWidth="1"/>
    <col min="12802" max="12802" width="41.5703125" style="1" customWidth="1"/>
    <col min="12803" max="12810" width="14.7109375" style="1" customWidth="1"/>
    <col min="12811" max="12811" width="16.7109375" style="1" customWidth="1"/>
    <col min="12812" max="12812" width="10.140625" style="1" bestFit="1" customWidth="1"/>
    <col min="12813" max="12813" width="10.140625" style="1" customWidth="1"/>
    <col min="12814" max="13056" width="9.140625" style="1"/>
    <col min="13057" max="13057" width="6.7109375" style="1" customWidth="1"/>
    <col min="13058" max="13058" width="41.5703125" style="1" customWidth="1"/>
    <col min="13059" max="13066" width="14.7109375" style="1" customWidth="1"/>
    <col min="13067" max="13067" width="16.7109375" style="1" customWidth="1"/>
    <col min="13068" max="13068" width="10.140625" style="1" bestFit="1" customWidth="1"/>
    <col min="13069" max="13069" width="10.140625" style="1" customWidth="1"/>
    <col min="13070" max="13312" width="9.140625" style="1"/>
    <col min="13313" max="13313" width="6.7109375" style="1" customWidth="1"/>
    <col min="13314" max="13314" width="41.5703125" style="1" customWidth="1"/>
    <col min="13315" max="13322" width="14.7109375" style="1" customWidth="1"/>
    <col min="13323" max="13323" width="16.7109375" style="1" customWidth="1"/>
    <col min="13324" max="13324" width="10.140625" style="1" bestFit="1" customWidth="1"/>
    <col min="13325" max="13325" width="10.140625" style="1" customWidth="1"/>
    <col min="13326" max="13568" width="9.140625" style="1"/>
    <col min="13569" max="13569" width="6.7109375" style="1" customWidth="1"/>
    <col min="13570" max="13570" width="41.5703125" style="1" customWidth="1"/>
    <col min="13571" max="13578" width="14.7109375" style="1" customWidth="1"/>
    <col min="13579" max="13579" width="16.7109375" style="1" customWidth="1"/>
    <col min="13580" max="13580" width="10.140625" style="1" bestFit="1" customWidth="1"/>
    <col min="13581" max="13581" width="10.140625" style="1" customWidth="1"/>
    <col min="13582" max="13824" width="9.140625" style="1"/>
    <col min="13825" max="13825" width="6.7109375" style="1" customWidth="1"/>
    <col min="13826" max="13826" width="41.5703125" style="1" customWidth="1"/>
    <col min="13827" max="13834" width="14.7109375" style="1" customWidth="1"/>
    <col min="13835" max="13835" width="16.7109375" style="1" customWidth="1"/>
    <col min="13836" max="13836" width="10.140625" style="1" bestFit="1" customWidth="1"/>
    <col min="13837" max="13837" width="10.140625" style="1" customWidth="1"/>
    <col min="13838" max="14080" width="9.140625" style="1"/>
    <col min="14081" max="14081" width="6.7109375" style="1" customWidth="1"/>
    <col min="14082" max="14082" width="41.5703125" style="1" customWidth="1"/>
    <col min="14083" max="14090" width="14.7109375" style="1" customWidth="1"/>
    <col min="14091" max="14091" width="16.7109375" style="1" customWidth="1"/>
    <col min="14092" max="14092" width="10.140625" style="1" bestFit="1" customWidth="1"/>
    <col min="14093" max="14093" width="10.140625" style="1" customWidth="1"/>
    <col min="14094" max="14336" width="9.140625" style="1"/>
    <col min="14337" max="14337" width="6.7109375" style="1" customWidth="1"/>
    <col min="14338" max="14338" width="41.5703125" style="1" customWidth="1"/>
    <col min="14339" max="14346" width="14.7109375" style="1" customWidth="1"/>
    <col min="14347" max="14347" width="16.7109375" style="1" customWidth="1"/>
    <col min="14348" max="14348" width="10.140625" style="1" bestFit="1" customWidth="1"/>
    <col min="14349" max="14349" width="10.140625" style="1" customWidth="1"/>
    <col min="14350" max="14592" width="9.140625" style="1"/>
    <col min="14593" max="14593" width="6.7109375" style="1" customWidth="1"/>
    <col min="14594" max="14594" width="41.5703125" style="1" customWidth="1"/>
    <col min="14595" max="14602" width="14.7109375" style="1" customWidth="1"/>
    <col min="14603" max="14603" width="16.7109375" style="1" customWidth="1"/>
    <col min="14604" max="14604" width="10.140625" style="1" bestFit="1" customWidth="1"/>
    <col min="14605" max="14605" width="10.140625" style="1" customWidth="1"/>
    <col min="14606" max="14848" width="9.140625" style="1"/>
    <col min="14849" max="14849" width="6.7109375" style="1" customWidth="1"/>
    <col min="14850" max="14850" width="41.5703125" style="1" customWidth="1"/>
    <col min="14851" max="14858" width="14.7109375" style="1" customWidth="1"/>
    <col min="14859" max="14859" width="16.7109375" style="1" customWidth="1"/>
    <col min="14860" max="14860" width="10.140625" style="1" bestFit="1" customWidth="1"/>
    <col min="14861" max="14861" width="10.140625" style="1" customWidth="1"/>
    <col min="14862" max="15104" width="9.140625" style="1"/>
    <col min="15105" max="15105" width="6.7109375" style="1" customWidth="1"/>
    <col min="15106" max="15106" width="41.5703125" style="1" customWidth="1"/>
    <col min="15107" max="15114" width="14.7109375" style="1" customWidth="1"/>
    <col min="15115" max="15115" width="16.7109375" style="1" customWidth="1"/>
    <col min="15116" max="15116" width="10.140625" style="1" bestFit="1" customWidth="1"/>
    <col min="15117" max="15117" width="10.140625" style="1" customWidth="1"/>
    <col min="15118" max="15360" width="9.140625" style="1"/>
    <col min="15361" max="15361" width="6.7109375" style="1" customWidth="1"/>
    <col min="15362" max="15362" width="41.5703125" style="1" customWidth="1"/>
    <col min="15363" max="15370" width="14.7109375" style="1" customWidth="1"/>
    <col min="15371" max="15371" width="16.7109375" style="1" customWidth="1"/>
    <col min="15372" max="15372" width="10.140625" style="1" bestFit="1" customWidth="1"/>
    <col min="15373" max="15373" width="10.140625" style="1" customWidth="1"/>
    <col min="15374" max="15616" width="9.140625" style="1"/>
    <col min="15617" max="15617" width="6.7109375" style="1" customWidth="1"/>
    <col min="15618" max="15618" width="41.5703125" style="1" customWidth="1"/>
    <col min="15619" max="15626" width="14.7109375" style="1" customWidth="1"/>
    <col min="15627" max="15627" width="16.7109375" style="1" customWidth="1"/>
    <col min="15628" max="15628" width="10.140625" style="1" bestFit="1" customWidth="1"/>
    <col min="15629" max="15629" width="10.140625" style="1" customWidth="1"/>
    <col min="15630" max="15872" width="9.140625" style="1"/>
    <col min="15873" max="15873" width="6.7109375" style="1" customWidth="1"/>
    <col min="15874" max="15874" width="41.5703125" style="1" customWidth="1"/>
    <col min="15875" max="15882" width="14.7109375" style="1" customWidth="1"/>
    <col min="15883" max="15883" width="16.7109375" style="1" customWidth="1"/>
    <col min="15884" max="15884" width="10.140625" style="1" bestFit="1" customWidth="1"/>
    <col min="15885" max="15885" width="10.140625" style="1" customWidth="1"/>
    <col min="15886" max="16128" width="9.140625" style="1"/>
    <col min="16129" max="16129" width="6.7109375" style="1" customWidth="1"/>
    <col min="16130" max="16130" width="41.5703125" style="1" customWidth="1"/>
    <col min="16131" max="16138" width="14.7109375" style="1" customWidth="1"/>
    <col min="16139" max="16139" width="16.7109375" style="1" customWidth="1"/>
    <col min="16140" max="16140" width="10.140625" style="1" bestFit="1" customWidth="1"/>
    <col min="16141" max="16141" width="10.140625" style="1" customWidth="1"/>
    <col min="16142" max="16384" width="9.140625" style="1"/>
  </cols>
  <sheetData>
    <row r="1" spans="1:14" ht="15" x14ac:dyDescent="0.25">
      <c r="M1" s="6"/>
    </row>
    <row r="2" spans="1:14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70"/>
    </row>
    <row r="3" spans="1:14" ht="15" customHeight="1" x14ac:dyDescent="0.2"/>
    <row r="4" spans="1:14" ht="18.75" x14ac:dyDescent="0.3">
      <c r="A4" s="7" t="s">
        <v>155</v>
      </c>
      <c r="L4" s="8"/>
    </row>
    <row r="5" spans="1:14" ht="15" customHeight="1" thickBot="1" x14ac:dyDescent="0.35">
      <c r="A5" s="7"/>
      <c r="M5" s="8" t="s">
        <v>0</v>
      </c>
    </row>
    <row r="6" spans="1:14" s="30" customFormat="1" ht="15.95" customHeight="1" x14ac:dyDescent="0.2">
      <c r="A6" s="1471" t="s">
        <v>104</v>
      </c>
      <c r="B6" s="1465" t="s">
        <v>156</v>
      </c>
      <c r="C6" s="1473" t="s">
        <v>164</v>
      </c>
      <c r="D6" s="1474"/>
      <c r="E6" s="1473" t="s">
        <v>132</v>
      </c>
      <c r="F6" s="1475"/>
      <c r="G6" s="1474"/>
      <c r="H6" s="1476" t="s">
        <v>165</v>
      </c>
      <c r="I6" s="1477"/>
      <c r="J6" s="1477"/>
      <c r="K6" s="1478"/>
      <c r="L6" s="1479" t="s">
        <v>151</v>
      </c>
      <c r="M6" s="1481" t="s">
        <v>157</v>
      </c>
    </row>
    <row r="7" spans="1:14" s="30" customFormat="1" ht="27" customHeight="1" thickBot="1" x14ac:dyDescent="0.25">
      <c r="A7" s="1472"/>
      <c r="B7" s="1467"/>
      <c r="C7" s="935" t="s">
        <v>163</v>
      </c>
      <c r="D7" s="936" t="s">
        <v>197</v>
      </c>
      <c r="E7" s="1216" t="s">
        <v>169</v>
      </c>
      <c r="F7" s="1217" t="s">
        <v>470</v>
      </c>
      <c r="G7" s="1218" t="s">
        <v>471</v>
      </c>
      <c r="H7" s="1171" t="s">
        <v>194</v>
      </c>
      <c r="I7" s="1170" t="s">
        <v>195</v>
      </c>
      <c r="J7" s="1172" t="s">
        <v>196</v>
      </c>
      <c r="K7" s="441" t="s">
        <v>99</v>
      </c>
      <c r="L7" s="1480"/>
      <c r="M7" s="1482"/>
    </row>
    <row r="8" spans="1:14" s="18" customFormat="1" ht="20.100000000000001" customHeight="1" thickBot="1" x14ac:dyDescent="0.3">
      <c r="A8" s="9"/>
      <c r="B8" s="10" t="s">
        <v>158</v>
      </c>
      <c r="C8" s="11"/>
      <c r="D8" s="12"/>
      <c r="E8" s="11"/>
      <c r="F8" s="13"/>
      <c r="G8" s="13"/>
      <c r="H8" s="14"/>
      <c r="I8" s="14"/>
      <c r="J8" s="14"/>
      <c r="K8" s="15"/>
      <c r="L8" s="16"/>
      <c r="M8" s="17"/>
    </row>
    <row r="9" spans="1:14" s="20" customFormat="1" ht="15" customHeight="1" x14ac:dyDescent="0.2">
      <c r="A9" s="506">
        <v>6172</v>
      </c>
      <c r="B9" s="528" t="s">
        <v>160</v>
      </c>
      <c r="C9" s="392">
        <v>100</v>
      </c>
      <c r="D9" s="393">
        <v>1659.97</v>
      </c>
      <c r="E9" s="508">
        <v>100</v>
      </c>
      <c r="F9" s="364">
        <v>100</v>
      </c>
      <c r="G9" s="509">
        <v>0</v>
      </c>
      <c r="H9" s="395">
        <v>0</v>
      </c>
      <c r="I9" s="396">
        <v>0</v>
      </c>
      <c r="J9" s="510">
        <v>100</v>
      </c>
      <c r="K9" s="366">
        <f>SUM(H9:J9)</f>
        <v>100</v>
      </c>
      <c r="L9" s="398">
        <f>K9/E9*100</f>
        <v>100</v>
      </c>
      <c r="M9" s="520">
        <f>K9/F9*100</f>
        <v>100</v>
      </c>
      <c r="N9" s="19"/>
    </row>
    <row r="10" spans="1:14" s="20" customFormat="1" ht="15" customHeight="1" x14ac:dyDescent="0.2">
      <c r="A10" s="1054">
        <v>6310</v>
      </c>
      <c r="B10" s="530" t="s">
        <v>161</v>
      </c>
      <c r="C10" s="402">
        <v>400</v>
      </c>
      <c r="D10" s="403">
        <v>330.02</v>
      </c>
      <c r="E10" s="522">
        <v>400</v>
      </c>
      <c r="F10" s="382">
        <v>400</v>
      </c>
      <c r="G10" s="527">
        <v>268.48</v>
      </c>
      <c r="H10" s="405">
        <v>350</v>
      </c>
      <c r="I10" s="406">
        <v>50</v>
      </c>
      <c r="J10" s="525">
        <v>0</v>
      </c>
      <c r="K10" s="373">
        <f>SUM(H10:J10)</f>
        <v>400</v>
      </c>
      <c r="L10" s="408">
        <f>K10/E10*100</f>
        <v>100</v>
      </c>
      <c r="M10" s="385">
        <f>K10/F10*100</f>
        <v>100</v>
      </c>
      <c r="N10" s="19"/>
    </row>
    <row r="11" spans="1:14" s="20" customFormat="1" ht="15" customHeight="1" thickBot="1" x14ac:dyDescent="0.25">
      <c r="A11" s="431">
        <v>6399</v>
      </c>
      <c r="B11" s="564" t="s">
        <v>162</v>
      </c>
      <c r="C11" s="894">
        <v>9500</v>
      </c>
      <c r="D11" s="895">
        <v>25115.11</v>
      </c>
      <c r="E11" s="1000">
        <v>11000</v>
      </c>
      <c r="F11" s="1001">
        <v>28991.83</v>
      </c>
      <c r="G11" s="1002">
        <v>26391.66</v>
      </c>
      <c r="H11" s="896">
        <v>12000</v>
      </c>
      <c r="I11" s="476">
        <v>0</v>
      </c>
      <c r="J11" s="1003">
        <v>0</v>
      </c>
      <c r="K11" s="387">
        <f>SUM(H11:J11)</f>
        <v>12000</v>
      </c>
      <c r="L11" s="1004">
        <f>K11/E11*100</f>
        <v>109.09090909090908</v>
      </c>
      <c r="M11" s="897">
        <f>K11/F11*100</f>
        <v>41.390971180501538</v>
      </c>
      <c r="N11" s="19"/>
    </row>
    <row r="12" spans="1:14" s="22" customFormat="1" ht="16.5" thickBot="1" x14ac:dyDescent="0.3">
      <c r="A12" s="963"/>
      <c r="B12" s="1005" t="s">
        <v>99</v>
      </c>
      <c r="C12" s="956">
        <f t="shared" ref="C12:K12" si="0">SUM(C9:C11)</f>
        <v>10000</v>
      </c>
      <c r="D12" s="997">
        <f t="shared" si="0"/>
        <v>27105.100000000002</v>
      </c>
      <c r="E12" s="976">
        <f t="shared" si="0"/>
        <v>11500</v>
      </c>
      <c r="F12" s="1006">
        <f t="shared" si="0"/>
        <v>29491.83</v>
      </c>
      <c r="G12" s="1007">
        <f t="shared" si="0"/>
        <v>26660.14</v>
      </c>
      <c r="H12" s="1008">
        <f t="shared" si="0"/>
        <v>12350</v>
      </c>
      <c r="I12" s="1009">
        <f t="shared" si="0"/>
        <v>50</v>
      </c>
      <c r="J12" s="1010">
        <f t="shared" si="0"/>
        <v>100</v>
      </c>
      <c r="K12" s="165">
        <f t="shared" si="0"/>
        <v>12500</v>
      </c>
      <c r="L12" s="957">
        <f>K12/E12*100</f>
        <v>108.69565217391303</v>
      </c>
      <c r="M12" s="997">
        <f>K12/F12*100</f>
        <v>42.384619740450148</v>
      </c>
      <c r="N12" s="21"/>
    </row>
    <row r="13" spans="1:14" ht="15" customHeight="1" x14ac:dyDescent="0.25">
      <c r="A13" s="23"/>
      <c r="B13" s="23"/>
      <c r="C13" s="910"/>
      <c r="D13" s="909"/>
      <c r="E13" s="910"/>
      <c r="F13" s="913"/>
      <c r="G13" s="913"/>
      <c r="H13" s="237"/>
      <c r="I13" s="237"/>
      <c r="J13" s="237"/>
      <c r="K13" s="237"/>
      <c r="L13" s="28"/>
      <c r="M13" s="29"/>
      <c r="N13" s="19"/>
    </row>
    <row r="14" spans="1:14" ht="15" customHeight="1" x14ac:dyDescent="0.25">
      <c r="B14" s="23"/>
      <c r="C14" s="910"/>
      <c r="D14" s="909"/>
      <c r="E14" s="910"/>
      <c r="F14" s="909"/>
      <c r="G14" s="909"/>
      <c r="H14" s="910"/>
      <c r="I14" s="910"/>
      <c r="J14" s="910"/>
      <c r="K14" s="910"/>
      <c r="L14" s="28"/>
      <c r="M14" s="29"/>
      <c r="N14" s="19"/>
    </row>
  </sheetData>
  <mergeCells count="8">
    <mergeCell ref="A2:M2"/>
    <mergeCell ref="C6:D6"/>
    <mergeCell ref="E6:G6"/>
    <mergeCell ref="L6:L7"/>
    <mergeCell ref="M6:M7"/>
    <mergeCell ref="A6:A7"/>
    <mergeCell ref="B6:B7"/>
    <mergeCell ref="H6:K6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workbookViewId="0">
      <selection activeCell="H12" sqref="H12"/>
    </sheetView>
  </sheetViews>
  <sheetFormatPr defaultRowHeight="12.75" x14ac:dyDescent="0.2"/>
  <cols>
    <col min="1" max="2" width="6.7109375" style="1" customWidth="1"/>
    <col min="3" max="3" width="41.5703125" style="1" customWidth="1"/>
    <col min="4" max="4" width="14.7109375" style="2" customWidth="1"/>
    <col min="5" max="5" width="14.7109375" style="3" customWidth="1"/>
    <col min="6" max="6" width="14.7109375" style="2" customWidth="1"/>
    <col min="7" max="8" width="14.7109375" style="3" customWidth="1"/>
    <col min="9" max="9" width="14.7109375" style="2" customWidth="1"/>
    <col min="10" max="10" width="15.42578125" style="2" customWidth="1"/>
    <col min="11" max="11" width="14.7109375" style="2" customWidth="1"/>
    <col min="12" max="12" width="14.7109375" style="4" customWidth="1"/>
    <col min="13" max="13" width="10.85546875" style="5" customWidth="1"/>
    <col min="14" max="14" width="9.7109375" style="5" customWidth="1"/>
    <col min="15" max="257" width="9.140625" style="1"/>
    <col min="258" max="258" width="6.7109375" style="1" customWidth="1"/>
    <col min="259" max="259" width="41.5703125" style="1" customWidth="1"/>
    <col min="260" max="267" width="14.7109375" style="1" customWidth="1"/>
    <col min="268" max="268" width="16.7109375" style="1" customWidth="1"/>
    <col min="269" max="269" width="10.85546875" style="1" customWidth="1"/>
    <col min="270" max="270" width="9.7109375" style="1" customWidth="1"/>
    <col min="271" max="513" width="9.140625" style="1"/>
    <col min="514" max="514" width="6.7109375" style="1" customWidth="1"/>
    <col min="515" max="515" width="41.5703125" style="1" customWidth="1"/>
    <col min="516" max="523" width="14.7109375" style="1" customWidth="1"/>
    <col min="524" max="524" width="16.7109375" style="1" customWidth="1"/>
    <col min="525" max="525" width="10.85546875" style="1" customWidth="1"/>
    <col min="526" max="526" width="9.7109375" style="1" customWidth="1"/>
    <col min="527" max="769" width="9.140625" style="1"/>
    <col min="770" max="770" width="6.7109375" style="1" customWidth="1"/>
    <col min="771" max="771" width="41.5703125" style="1" customWidth="1"/>
    <col min="772" max="779" width="14.7109375" style="1" customWidth="1"/>
    <col min="780" max="780" width="16.7109375" style="1" customWidth="1"/>
    <col min="781" max="781" width="10.85546875" style="1" customWidth="1"/>
    <col min="782" max="782" width="9.7109375" style="1" customWidth="1"/>
    <col min="783" max="1025" width="9.140625" style="1"/>
    <col min="1026" max="1026" width="6.7109375" style="1" customWidth="1"/>
    <col min="1027" max="1027" width="41.5703125" style="1" customWidth="1"/>
    <col min="1028" max="1035" width="14.7109375" style="1" customWidth="1"/>
    <col min="1036" max="1036" width="16.7109375" style="1" customWidth="1"/>
    <col min="1037" max="1037" width="10.85546875" style="1" customWidth="1"/>
    <col min="1038" max="1038" width="9.7109375" style="1" customWidth="1"/>
    <col min="1039" max="1281" width="9.140625" style="1"/>
    <col min="1282" max="1282" width="6.7109375" style="1" customWidth="1"/>
    <col min="1283" max="1283" width="41.5703125" style="1" customWidth="1"/>
    <col min="1284" max="1291" width="14.7109375" style="1" customWidth="1"/>
    <col min="1292" max="1292" width="16.7109375" style="1" customWidth="1"/>
    <col min="1293" max="1293" width="10.85546875" style="1" customWidth="1"/>
    <col min="1294" max="1294" width="9.7109375" style="1" customWidth="1"/>
    <col min="1295" max="1537" width="9.140625" style="1"/>
    <col min="1538" max="1538" width="6.7109375" style="1" customWidth="1"/>
    <col min="1539" max="1539" width="41.5703125" style="1" customWidth="1"/>
    <col min="1540" max="1547" width="14.7109375" style="1" customWidth="1"/>
    <col min="1548" max="1548" width="16.7109375" style="1" customWidth="1"/>
    <col min="1549" max="1549" width="10.85546875" style="1" customWidth="1"/>
    <col min="1550" max="1550" width="9.7109375" style="1" customWidth="1"/>
    <col min="1551" max="1793" width="9.140625" style="1"/>
    <col min="1794" max="1794" width="6.7109375" style="1" customWidth="1"/>
    <col min="1795" max="1795" width="41.5703125" style="1" customWidth="1"/>
    <col min="1796" max="1803" width="14.7109375" style="1" customWidth="1"/>
    <col min="1804" max="1804" width="16.7109375" style="1" customWidth="1"/>
    <col min="1805" max="1805" width="10.85546875" style="1" customWidth="1"/>
    <col min="1806" max="1806" width="9.7109375" style="1" customWidth="1"/>
    <col min="1807" max="2049" width="9.140625" style="1"/>
    <col min="2050" max="2050" width="6.7109375" style="1" customWidth="1"/>
    <col min="2051" max="2051" width="41.5703125" style="1" customWidth="1"/>
    <col min="2052" max="2059" width="14.7109375" style="1" customWidth="1"/>
    <col min="2060" max="2060" width="16.7109375" style="1" customWidth="1"/>
    <col min="2061" max="2061" width="10.85546875" style="1" customWidth="1"/>
    <col min="2062" max="2062" width="9.7109375" style="1" customWidth="1"/>
    <col min="2063" max="2305" width="9.140625" style="1"/>
    <col min="2306" max="2306" width="6.7109375" style="1" customWidth="1"/>
    <col min="2307" max="2307" width="41.5703125" style="1" customWidth="1"/>
    <col min="2308" max="2315" width="14.7109375" style="1" customWidth="1"/>
    <col min="2316" max="2316" width="16.7109375" style="1" customWidth="1"/>
    <col min="2317" max="2317" width="10.85546875" style="1" customWidth="1"/>
    <col min="2318" max="2318" width="9.7109375" style="1" customWidth="1"/>
    <col min="2319" max="2561" width="9.140625" style="1"/>
    <col min="2562" max="2562" width="6.7109375" style="1" customWidth="1"/>
    <col min="2563" max="2563" width="41.5703125" style="1" customWidth="1"/>
    <col min="2564" max="2571" width="14.7109375" style="1" customWidth="1"/>
    <col min="2572" max="2572" width="16.7109375" style="1" customWidth="1"/>
    <col min="2573" max="2573" width="10.85546875" style="1" customWidth="1"/>
    <col min="2574" max="2574" width="9.7109375" style="1" customWidth="1"/>
    <col min="2575" max="2817" width="9.140625" style="1"/>
    <col min="2818" max="2818" width="6.7109375" style="1" customWidth="1"/>
    <col min="2819" max="2819" width="41.5703125" style="1" customWidth="1"/>
    <col min="2820" max="2827" width="14.7109375" style="1" customWidth="1"/>
    <col min="2828" max="2828" width="16.7109375" style="1" customWidth="1"/>
    <col min="2829" max="2829" width="10.85546875" style="1" customWidth="1"/>
    <col min="2830" max="2830" width="9.7109375" style="1" customWidth="1"/>
    <col min="2831" max="3073" width="9.140625" style="1"/>
    <col min="3074" max="3074" width="6.7109375" style="1" customWidth="1"/>
    <col min="3075" max="3075" width="41.5703125" style="1" customWidth="1"/>
    <col min="3076" max="3083" width="14.7109375" style="1" customWidth="1"/>
    <col min="3084" max="3084" width="16.7109375" style="1" customWidth="1"/>
    <col min="3085" max="3085" width="10.85546875" style="1" customWidth="1"/>
    <col min="3086" max="3086" width="9.7109375" style="1" customWidth="1"/>
    <col min="3087" max="3329" width="9.140625" style="1"/>
    <col min="3330" max="3330" width="6.7109375" style="1" customWidth="1"/>
    <col min="3331" max="3331" width="41.5703125" style="1" customWidth="1"/>
    <col min="3332" max="3339" width="14.7109375" style="1" customWidth="1"/>
    <col min="3340" max="3340" width="16.7109375" style="1" customWidth="1"/>
    <col min="3341" max="3341" width="10.85546875" style="1" customWidth="1"/>
    <col min="3342" max="3342" width="9.7109375" style="1" customWidth="1"/>
    <col min="3343" max="3585" width="9.140625" style="1"/>
    <col min="3586" max="3586" width="6.7109375" style="1" customWidth="1"/>
    <col min="3587" max="3587" width="41.5703125" style="1" customWidth="1"/>
    <col min="3588" max="3595" width="14.7109375" style="1" customWidth="1"/>
    <col min="3596" max="3596" width="16.7109375" style="1" customWidth="1"/>
    <col min="3597" max="3597" width="10.85546875" style="1" customWidth="1"/>
    <col min="3598" max="3598" width="9.7109375" style="1" customWidth="1"/>
    <col min="3599" max="3841" width="9.140625" style="1"/>
    <col min="3842" max="3842" width="6.7109375" style="1" customWidth="1"/>
    <col min="3843" max="3843" width="41.5703125" style="1" customWidth="1"/>
    <col min="3844" max="3851" width="14.7109375" style="1" customWidth="1"/>
    <col min="3852" max="3852" width="16.7109375" style="1" customWidth="1"/>
    <col min="3853" max="3853" width="10.85546875" style="1" customWidth="1"/>
    <col min="3854" max="3854" width="9.7109375" style="1" customWidth="1"/>
    <col min="3855" max="4097" width="9.140625" style="1"/>
    <col min="4098" max="4098" width="6.7109375" style="1" customWidth="1"/>
    <col min="4099" max="4099" width="41.5703125" style="1" customWidth="1"/>
    <col min="4100" max="4107" width="14.7109375" style="1" customWidth="1"/>
    <col min="4108" max="4108" width="16.7109375" style="1" customWidth="1"/>
    <col min="4109" max="4109" width="10.85546875" style="1" customWidth="1"/>
    <col min="4110" max="4110" width="9.7109375" style="1" customWidth="1"/>
    <col min="4111" max="4353" width="9.140625" style="1"/>
    <col min="4354" max="4354" width="6.7109375" style="1" customWidth="1"/>
    <col min="4355" max="4355" width="41.5703125" style="1" customWidth="1"/>
    <col min="4356" max="4363" width="14.7109375" style="1" customWidth="1"/>
    <col min="4364" max="4364" width="16.7109375" style="1" customWidth="1"/>
    <col min="4365" max="4365" width="10.85546875" style="1" customWidth="1"/>
    <col min="4366" max="4366" width="9.7109375" style="1" customWidth="1"/>
    <col min="4367" max="4609" width="9.140625" style="1"/>
    <col min="4610" max="4610" width="6.7109375" style="1" customWidth="1"/>
    <col min="4611" max="4611" width="41.5703125" style="1" customWidth="1"/>
    <col min="4612" max="4619" width="14.7109375" style="1" customWidth="1"/>
    <col min="4620" max="4620" width="16.7109375" style="1" customWidth="1"/>
    <col min="4621" max="4621" width="10.85546875" style="1" customWidth="1"/>
    <col min="4622" max="4622" width="9.7109375" style="1" customWidth="1"/>
    <col min="4623" max="4865" width="9.140625" style="1"/>
    <col min="4866" max="4866" width="6.7109375" style="1" customWidth="1"/>
    <col min="4867" max="4867" width="41.5703125" style="1" customWidth="1"/>
    <col min="4868" max="4875" width="14.7109375" style="1" customWidth="1"/>
    <col min="4876" max="4876" width="16.7109375" style="1" customWidth="1"/>
    <col min="4877" max="4877" width="10.85546875" style="1" customWidth="1"/>
    <col min="4878" max="4878" width="9.7109375" style="1" customWidth="1"/>
    <col min="4879" max="5121" width="9.140625" style="1"/>
    <col min="5122" max="5122" width="6.7109375" style="1" customWidth="1"/>
    <col min="5123" max="5123" width="41.5703125" style="1" customWidth="1"/>
    <col min="5124" max="5131" width="14.7109375" style="1" customWidth="1"/>
    <col min="5132" max="5132" width="16.7109375" style="1" customWidth="1"/>
    <col min="5133" max="5133" width="10.85546875" style="1" customWidth="1"/>
    <col min="5134" max="5134" width="9.7109375" style="1" customWidth="1"/>
    <col min="5135" max="5377" width="9.140625" style="1"/>
    <col min="5378" max="5378" width="6.7109375" style="1" customWidth="1"/>
    <col min="5379" max="5379" width="41.5703125" style="1" customWidth="1"/>
    <col min="5380" max="5387" width="14.7109375" style="1" customWidth="1"/>
    <col min="5388" max="5388" width="16.7109375" style="1" customWidth="1"/>
    <col min="5389" max="5389" width="10.85546875" style="1" customWidth="1"/>
    <col min="5390" max="5390" width="9.7109375" style="1" customWidth="1"/>
    <col min="5391" max="5633" width="9.140625" style="1"/>
    <col min="5634" max="5634" width="6.7109375" style="1" customWidth="1"/>
    <col min="5635" max="5635" width="41.5703125" style="1" customWidth="1"/>
    <col min="5636" max="5643" width="14.7109375" style="1" customWidth="1"/>
    <col min="5644" max="5644" width="16.7109375" style="1" customWidth="1"/>
    <col min="5645" max="5645" width="10.85546875" style="1" customWidth="1"/>
    <col min="5646" max="5646" width="9.7109375" style="1" customWidth="1"/>
    <col min="5647" max="5889" width="9.140625" style="1"/>
    <col min="5890" max="5890" width="6.7109375" style="1" customWidth="1"/>
    <col min="5891" max="5891" width="41.5703125" style="1" customWidth="1"/>
    <col min="5892" max="5899" width="14.7109375" style="1" customWidth="1"/>
    <col min="5900" max="5900" width="16.7109375" style="1" customWidth="1"/>
    <col min="5901" max="5901" width="10.85546875" style="1" customWidth="1"/>
    <col min="5902" max="5902" width="9.7109375" style="1" customWidth="1"/>
    <col min="5903" max="6145" width="9.140625" style="1"/>
    <col min="6146" max="6146" width="6.7109375" style="1" customWidth="1"/>
    <col min="6147" max="6147" width="41.5703125" style="1" customWidth="1"/>
    <col min="6148" max="6155" width="14.7109375" style="1" customWidth="1"/>
    <col min="6156" max="6156" width="16.7109375" style="1" customWidth="1"/>
    <col min="6157" max="6157" width="10.85546875" style="1" customWidth="1"/>
    <col min="6158" max="6158" width="9.7109375" style="1" customWidth="1"/>
    <col min="6159" max="6401" width="9.140625" style="1"/>
    <col min="6402" max="6402" width="6.7109375" style="1" customWidth="1"/>
    <col min="6403" max="6403" width="41.5703125" style="1" customWidth="1"/>
    <col min="6404" max="6411" width="14.7109375" style="1" customWidth="1"/>
    <col min="6412" max="6412" width="16.7109375" style="1" customWidth="1"/>
    <col min="6413" max="6413" width="10.85546875" style="1" customWidth="1"/>
    <col min="6414" max="6414" width="9.7109375" style="1" customWidth="1"/>
    <col min="6415" max="6657" width="9.140625" style="1"/>
    <col min="6658" max="6658" width="6.7109375" style="1" customWidth="1"/>
    <col min="6659" max="6659" width="41.5703125" style="1" customWidth="1"/>
    <col min="6660" max="6667" width="14.7109375" style="1" customWidth="1"/>
    <col min="6668" max="6668" width="16.7109375" style="1" customWidth="1"/>
    <col min="6669" max="6669" width="10.85546875" style="1" customWidth="1"/>
    <col min="6670" max="6670" width="9.7109375" style="1" customWidth="1"/>
    <col min="6671" max="6913" width="9.140625" style="1"/>
    <col min="6914" max="6914" width="6.7109375" style="1" customWidth="1"/>
    <col min="6915" max="6915" width="41.5703125" style="1" customWidth="1"/>
    <col min="6916" max="6923" width="14.7109375" style="1" customWidth="1"/>
    <col min="6924" max="6924" width="16.7109375" style="1" customWidth="1"/>
    <col min="6925" max="6925" width="10.85546875" style="1" customWidth="1"/>
    <col min="6926" max="6926" width="9.7109375" style="1" customWidth="1"/>
    <col min="6927" max="7169" width="9.140625" style="1"/>
    <col min="7170" max="7170" width="6.7109375" style="1" customWidth="1"/>
    <col min="7171" max="7171" width="41.5703125" style="1" customWidth="1"/>
    <col min="7172" max="7179" width="14.7109375" style="1" customWidth="1"/>
    <col min="7180" max="7180" width="16.7109375" style="1" customWidth="1"/>
    <col min="7181" max="7181" width="10.85546875" style="1" customWidth="1"/>
    <col min="7182" max="7182" width="9.7109375" style="1" customWidth="1"/>
    <col min="7183" max="7425" width="9.140625" style="1"/>
    <col min="7426" max="7426" width="6.7109375" style="1" customWidth="1"/>
    <col min="7427" max="7427" width="41.5703125" style="1" customWidth="1"/>
    <col min="7428" max="7435" width="14.7109375" style="1" customWidth="1"/>
    <col min="7436" max="7436" width="16.7109375" style="1" customWidth="1"/>
    <col min="7437" max="7437" width="10.85546875" style="1" customWidth="1"/>
    <col min="7438" max="7438" width="9.7109375" style="1" customWidth="1"/>
    <col min="7439" max="7681" width="9.140625" style="1"/>
    <col min="7682" max="7682" width="6.7109375" style="1" customWidth="1"/>
    <col min="7683" max="7683" width="41.5703125" style="1" customWidth="1"/>
    <col min="7684" max="7691" width="14.7109375" style="1" customWidth="1"/>
    <col min="7692" max="7692" width="16.7109375" style="1" customWidth="1"/>
    <col min="7693" max="7693" width="10.85546875" style="1" customWidth="1"/>
    <col min="7694" max="7694" width="9.7109375" style="1" customWidth="1"/>
    <col min="7695" max="7937" width="9.140625" style="1"/>
    <col min="7938" max="7938" width="6.7109375" style="1" customWidth="1"/>
    <col min="7939" max="7939" width="41.5703125" style="1" customWidth="1"/>
    <col min="7940" max="7947" width="14.7109375" style="1" customWidth="1"/>
    <col min="7948" max="7948" width="16.7109375" style="1" customWidth="1"/>
    <col min="7949" max="7949" width="10.85546875" style="1" customWidth="1"/>
    <col min="7950" max="7950" width="9.7109375" style="1" customWidth="1"/>
    <col min="7951" max="8193" width="9.140625" style="1"/>
    <col min="8194" max="8194" width="6.7109375" style="1" customWidth="1"/>
    <col min="8195" max="8195" width="41.5703125" style="1" customWidth="1"/>
    <col min="8196" max="8203" width="14.7109375" style="1" customWidth="1"/>
    <col min="8204" max="8204" width="16.7109375" style="1" customWidth="1"/>
    <col min="8205" max="8205" width="10.85546875" style="1" customWidth="1"/>
    <col min="8206" max="8206" width="9.7109375" style="1" customWidth="1"/>
    <col min="8207" max="8449" width="9.140625" style="1"/>
    <col min="8450" max="8450" width="6.7109375" style="1" customWidth="1"/>
    <col min="8451" max="8451" width="41.5703125" style="1" customWidth="1"/>
    <col min="8452" max="8459" width="14.7109375" style="1" customWidth="1"/>
    <col min="8460" max="8460" width="16.7109375" style="1" customWidth="1"/>
    <col min="8461" max="8461" width="10.85546875" style="1" customWidth="1"/>
    <col min="8462" max="8462" width="9.7109375" style="1" customWidth="1"/>
    <col min="8463" max="8705" width="9.140625" style="1"/>
    <col min="8706" max="8706" width="6.7109375" style="1" customWidth="1"/>
    <col min="8707" max="8707" width="41.5703125" style="1" customWidth="1"/>
    <col min="8708" max="8715" width="14.7109375" style="1" customWidth="1"/>
    <col min="8716" max="8716" width="16.7109375" style="1" customWidth="1"/>
    <col min="8717" max="8717" width="10.85546875" style="1" customWidth="1"/>
    <col min="8718" max="8718" width="9.7109375" style="1" customWidth="1"/>
    <col min="8719" max="8961" width="9.140625" style="1"/>
    <col min="8962" max="8962" width="6.7109375" style="1" customWidth="1"/>
    <col min="8963" max="8963" width="41.5703125" style="1" customWidth="1"/>
    <col min="8964" max="8971" width="14.7109375" style="1" customWidth="1"/>
    <col min="8972" max="8972" width="16.7109375" style="1" customWidth="1"/>
    <col min="8973" max="8973" width="10.85546875" style="1" customWidth="1"/>
    <col min="8974" max="8974" width="9.7109375" style="1" customWidth="1"/>
    <col min="8975" max="9217" width="9.140625" style="1"/>
    <col min="9218" max="9218" width="6.7109375" style="1" customWidth="1"/>
    <col min="9219" max="9219" width="41.5703125" style="1" customWidth="1"/>
    <col min="9220" max="9227" width="14.7109375" style="1" customWidth="1"/>
    <col min="9228" max="9228" width="16.7109375" style="1" customWidth="1"/>
    <col min="9229" max="9229" width="10.85546875" style="1" customWidth="1"/>
    <col min="9230" max="9230" width="9.7109375" style="1" customWidth="1"/>
    <col min="9231" max="9473" width="9.140625" style="1"/>
    <col min="9474" max="9474" width="6.7109375" style="1" customWidth="1"/>
    <col min="9475" max="9475" width="41.5703125" style="1" customWidth="1"/>
    <col min="9476" max="9483" width="14.7109375" style="1" customWidth="1"/>
    <col min="9484" max="9484" width="16.7109375" style="1" customWidth="1"/>
    <col min="9485" max="9485" width="10.85546875" style="1" customWidth="1"/>
    <col min="9486" max="9486" width="9.7109375" style="1" customWidth="1"/>
    <col min="9487" max="9729" width="9.140625" style="1"/>
    <col min="9730" max="9730" width="6.7109375" style="1" customWidth="1"/>
    <col min="9731" max="9731" width="41.5703125" style="1" customWidth="1"/>
    <col min="9732" max="9739" width="14.7109375" style="1" customWidth="1"/>
    <col min="9740" max="9740" width="16.7109375" style="1" customWidth="1"/>
    <col min="9741" max="9741" width="10.85546875" style="1" customWidth="1"/>
    <col min="9742" max="9742" width="9.7109375" style="1" customWidth="1"/>
    <col min="9743" max="9985" width="9.140625" style="1"/>
    <col min="9986" max="9986" width="6.7109375" style="1" customWidth="1"/>
    <col min="9987" max="9987" width="41.5703125" style="1" customWidth="1"/>
    <col min="9988" max="9995" width="14.7109375" style="1" customWidth="1"/>
    <col min="9996" max="9996" width="16.7109375" style="1" customWidth="1"/>
    <col min="9997" max="9997" width="10.85546875" style="1" customWidth="1"/>
    <col min="9998" max="9998" width="9.7109375" style="1" customWidth="1"/>
    <col min="9999" max="10241" width="9.140625" style="1"/>
    <col min="10242" max="10242" width="6.7109375" style="1" customWidth="1"/>
    <col min="10243" max="10243" width="41.5703125" style="1" customWidth="1"/>
    <col min="10244" max="10251" width="14.7109375" style="1" customWidth="1"/>
    <col min="10252" max="10252" width="16.7109375" style="1" customWidth="1"/>
    <col min="10253" max="10253" width="10.85546875" style="1" customWidth="1"/>
    <col min="10254" max="10254" width="9.7109375" style="1" customWidth="1"/>
    <col min="10255" max="10497" width="9.140625" style="1"/>
    <col min="10498" max="10498" width="6.7109375" style="1" customWidth="1"/>
    <col min="10499" max="10499" width="41.5703125" style="1" customWidth="1"/>
    <col min="10500" max="10507" width="14.7109375" style="1" customWidth="1"/>
    <col min="10508" max="10508" width="16.7109375" style="1" customWidth="1"/>
    <col min="10509" max="10509" width="10.85546875" style="1" customWidth="1"/>
    <col min="10510" max="10510" width="9.7109375" style="1" customWidth="1"/>
    <col min="10511" max="10753" width="9.140625" style="1"/>
    <col min="10754" max="10754" width="6.7109375" style="1" customWidth="1"/>
    <col min="10755" max="10755" width="41.5703125" style="1" customWidth="1"/>
    <col min="10756" max="10763" width="14.7109375" style="1" customWidth="1"/>
    <col min="10764" max="10764" width="16.7109375" style="1" customWidth="1"/>
    <col min="10765" max="10765" width="10.85546875" style="1" customWidth="1"/>
    <col min="10766" max="10766" width="9.7109375" style="1" customWidth="1"/>
    <col min="10767" max="11009" width="9.140625" style="1"/>
    <col min="11010" max="11010" width="6.7109375" style="1" customWidth="1"/>
    <col min="11011" max="11011" width="41.5703125" style="1" customWidth="1"/>
    <col min="11012" max="11019" width="14.7109375" style="1" customWidth="1"/>
    <col min="11020" max="11020" width="16.7109375" style="1" customWidth="1"/>
    <col min="11021" max="11021" width="10.85546875" style="1" customWidth="1"/>
    <col min="11022" max="11022" width="9.7109375" style="1" customWidth="1"/>
    <col min="11023" max="11265" width="9.140625" style="1"/>
    <col min="11266" max="11266" width="6.7109375" style="1" customWidth="1"/>
    <col min="11267" max="11267" width="41.5703125" style="1" customWidth="1"/>
    <col min="11268" max="11275" width="14.7109375" style="1" customWidth="1"/>
    <col min="11276" max="11276" width="16.7109375" style="1" customWidth="1"/>
    <col min="11277" max="11277" width="10.85546875" style="1" customWidth="1"/>
    <col min="11278" max="11278" width="9.7109375" style="1" customWidth="1"/>
    <col min="11279" max="11521" width="9.140625" style="1"/>
    <col min="11522" max="11522" width="6.7109375" style="1" customWidth="1"/>
    <col min="11523" max="11523" width="41.5703125" style="1" customWidth="1"/>
    <col min="11524" max="11531" width="14.7109375" style="1" customWidth="1"/>
    <col min="11532" max="11532" width="16.7109375" style="1" customWidth="1"/>
    <col min="11533" max="11533" width="10.85546875" style="1" customWidth="1"/>
    <col min="11534" max="11534" width="9.7109375" style="1" customWidth="1"/>
    <col min="11535" max="11777" width="9.140625" style="1"/>
    <col min="11778" max="11778" width="6.7109375" style="1" customWidth="1"/>
    <col min="11779" max="11779" width="41.5703125" style="1" customWidth="1"/>
    <col min="11780" max="11787" width="14.7109375" style="1" customWidth="1"/>
    <col min="11788" max="11788" width="16.7109375" style="1" customWidth="1"/>
    <col min="11789" max="11789" width="10.85546875" style="1" customWidth="1"/>
    <col min="11790" max="11790" width="9.7109375" style="1" customWidth="1"/>
    <col min="11791" max="12033" width="9.140625" style="1"/>
    <col min="12034" max="12034" width="6.7109375" style="1" customWidth="1"/>
    <col min="12035" max="12035" width="41.5703125" style="1" customWidth="1"/>
    <col min="12036" max="12043" width="14.7109375" style="1" customWidth="1"/>
    <col min="12044" max="12044" width="16.7109375" style="1" customWidth="1"/>
    <col min="12045" max="12045" width="10.85546875" style="1" customWidth="1"/>
    <col min="12046" max="12046" width="9.7109375" style="1" customWidth="1"/>
    <col min="12047" max="12289" width="9.140625" style="1"/>
    <col min="12290" max="12290" width="6.7109375" style="1" customWidth="1"/>
    <col min="12291" max="12291" width="41.5703125" style="1" customWidth="1"/>
    <col min="12292" max="12299" width="14.7109375" style="1" customWidth="1"/>
    <col min="12300" max="12300" width="16.7109375" style="1" customWidth="1"/>
    <col min="12301" max="12301" width="10.85546875" style="1" customWidth="1"/>
    <col min="12302" max="12302" width="9.7109375" style="1" customWidth="1"/>
    <col min="12303" max="12545" width="9.140625" style="1"/>
    <col min="12546" max="12546" width="6.7109375" style="1" customWidth="1"/>
    <col min="12547" max="12547" width="41.5703125" style="1" customWidth="1"/>
    <col min="12548" max="12555" width="14.7109375" style="1" customWidth="1"/>
    <col min="12556" max="12556" width="16.7109375" style="1" customWidth="1"/>
    <col min="12557" max="12557" width="10.85546875" style="1" customWidth="1"/>
    <col min="12558" max="12558" width="9.7109375" style="1" customWidth="1"/>
    <col min="12559" max="12801" width="9.140625" style="1"/>
    <col min="12802" max="12802" width="6.7109375" style="1" customWidth="1"/>
    <col min="12803" max="12803" width="41.5703125" style="1" customWidth="1"/>
    <col min="12804" max="12811" width="14.7109375" style="1" customWidth="1"/>
    <col min="12812" max="12812" width="16.7109375" style="1" customWidth="1"/>
    <col min="12813" max="12813" width="10.85546875" style="1" customWidth="1"/>
    <col min="12814" max="12814" width="9.7109375" style="1" customWidth="1"/>
    <col min="12815" max="13057" width="9.140625" style="1"/>
    <col min="13058" max="13058" width="6.7109375" style="1" customWidth="1"/>
    <col min="13059" max="13059" width="41.5703125" style="1" customWidth="1"/>
    <col min="13060" max="13067" width="14.7109375" style="1" customWidth="1"/>
    <col min="13068" max="13068" width="16.7109375" style="1" customWidth="1"/>
    <col min="13069" max="13069" width="10.85546875" style="1" customWidth="1"/>
    <col min="13070" max="13070" width="9.7109375" style="1" customWidth="1"/>
    <col min="13071" max="13313" width="9.140625" style="1"/>
    <col min="13314" max="13314" width="6.7109375" style="1" customWidth="1"/>
    <col min="13315" max="13315" width="41.5703125" style="1" customWidth="1"/>
    <col min="13316" max="13323" width="14.7109375" style="1" customWidth="1"/>
    <col min="13324" max="13324" width="16.7109375" style="1" customWidth="1"/>
    <col min="13325" max="13325" width="10.85546875" style="1" customWidth="1"/>
    <col min="13326" max="13326" width="9.7109375" style="1" customWidth="1"/>
    <col min="13327" max="13569" width="9.140625" style="1"/>
    <col min="13570" max="13570" width="6.7109375" style="1" customWidth="1"/>
    <col min="13571" max="13571" width="41.5703125" style="1" customWidth="1"/>
    <col min="13572" max="13579" width="14.7109375" style="1" customWidth="1"/>
    <col min="13580" max="13580" width="16.7109375" style="1" customWidth="1"/>
    <col min="13581" max="13581" width="10.85546875" style="1" customWidth="1"/>
    <col min="13582" max="13582" width="9.7109375" style="1" customWidth="1"/>
    <col min="13583" max="13825" width="9.140625" style="1"/>
    <col min="13826" max="13826" width="6.7109375" style="1" customWidth="1"/>
    <col min="13827" max="13827" width="41.5703125" style="1" customWidth="1"/>
    <col min="13828" max="13835" width="14.7109375" style="1" customWidth="1"/>
    <col min="13836" max="13836" width="16.7109375" style="1" customWidth="1"/>
    <col min="13837" max="13837" width="10.85546875" style="1" customWidth="1"/>
    <col min="13838" max="13838" width="9.7109375" style="1" customWidth="1"/>
    <col min="13839" max="14081" width="9.140625" style="1"/>
    <col min="14082" max="14082" width="6.7109375" style="1" customWidth="1"/>
    <col min="14083" max="14083" width="41.5703125" style="1" customWidth="1"/>
    <col min="14084" max="14091" width="14.7109375" style="1" customWidth="1"/>
    <col min="14092" max="14092" width="16.7109375" style="1" customWidth="1"/>
    <col min="14093" max="14093" width="10.85546875" style="1" customWidth="1"/>
    <col min="14094" max="14094" width="9.7109375" style="1" customWidth="1"/>
    <col min="14095" max="14337" width="9.140625" style="1"/>
    <col min="14338" max="14338" width="6.7109375" style="1" customWidth="1"/>
    <col min="14339" max="14339" width="41.5703125" style="1" customWidth="1"/>
    <col min="14340" max="14347" width="14.7109375" style="1" customWidth="1"/>
    <col min="14348" max="14348" width="16.7109375" style="1" customWidth="1"/>
    <col min="14349" max="14349" width="10.85546875" style="1" customWidth="1"/>
    <col min="14350" max="14350" width="9.7109375" style="1" customWidth="1"/>
    <col min="14351" max="14593" width="9.140625" style="1"/>
    <col min="14594" max="14594" width="6.7109375" style="1" customWidth="1"/>
    <col min="14595" max="14595" width="41.5703125" style="1" customWidth="1"/>
    <col min="14596" max="14603" width="14.7109375" style="1" customWidth="1"/>
    <col min="14604" max="14604" width="16.7109375" style="1" customWidth="1"/>
    <col min="14605" max="14605" width="10.85546875" style="1" customWidth="1"/>
    <col min="14606" max="14606" width="9.7109375" style="1" customWidth="1"/>
    <col min="14607" max="14849" width="9.140625" style="1"/>
    <col min="14850" max="14850" width="6.7109375" style="1" customWidth="1"/>
    <col min="14851" max="14851" width="41.5703125" style="1" customWidth="1"/>
    <col min="14852" max="14859" width="14.7109375" style="1" customWidth="1"/>
    <col min="14860" max="14860" width="16.7109375" style="1" customWidth="1"/>
    <col min="14861" max="14861" width="10.85546875" style="1" customWidth="1"/>
    <col min="14862" max="14862" width="9.7109375" style="1" customWidth="1"/>
    <col min="14863" max="15105" width="9.140625" style="1"/>
    <col min="15106" max="15106" width="6.7109375" style="1" customWidth="1"/>
    <col min="15107" max="15107" width="41.5703125" style="1" customWidth="1"/>
    <col min="15108" max="15115" width="14.7109375" style="1" customWidth="1"/>
    <col min="15116" max="15116" width="16.7109375" style="1" customWidth="1"/>
    <col min="15117" max="15117" width="10.85546875" style="1" customWidth="1"/>
    <col min="15118" max="15118" width="9.7109375" style="1" customWidth="1"/>
    <col min="15119" max="15361" width="9.140625" style="1"/>
    <col min="15362" max="15362" width="6.7109375" style="1" customWidth="1"/>
    <col min="15363" max="15363" width="41.5703125" style="1" customWidth="1"/>
    <col min="15364" max="15371" width="14.7109375" style="1" customWidth="1"/>
    <col min="15372" max="15372" width="16.7109375" style="1" customWidth="1"/>
    <col min="15373" max="15373" width="10.85546875" style="1" customWidth="1"/>
    <col min="15374" max="15374" width="9.7109375" style="1" customWidth="1"/>
    <col min="15375" max="15617" width="9.140625" style="1"/>
    <col min="15618" max="15618" width="6.7109375" style="1" customWidth="1"/>
    <col min="15619" max="15619" width="41.5703125" style="1" customWidth="1"/>
    <col min="15620" max="15627" width="14.7109375" style="1" customWidth="1"/>
    <col min="15628" max="15628" width="16.7109375" style="1" customWidth="1"/>
    <col min="15629" max="15629" width="10.85546875" style="1" customWidth="1"/>
    <col min="15630" max="15630" width="9.7109375" style="1" customWidth="1"/>
    <col min="15631" max="15873" width="9.140625" style="1"/>
    <col min="15874" max="15874" width="6.7109375" style="1" customWidth="1"/>
    <col min="15875" max="15875" width="41.5703125" style="1" customWidth="1"/>
    <col min="15876" max="15883" width="14.7109375" style="1" customWidth="1"/>
    <col min="15884" max="15884" width="16.7109375" style="1" customWidth="1"/>
    <col min="15885" max="15885" width="10.85546875" style="1" customWidth="1"/>
    <col min="15886" max="15886" width="9.7109375" style="1" customWidth="1"/>
    <col min="15887" max="16129" width="9.140625" style="1"/>
    <col min="16130" max="16130" width="6.7109375" style="1" customWidth="1"/>
    <col min="16131" max="16131" width="41.5703125" style="1" customWidth="1"/>
    <col min="16132" max="16139" width="14.7109375" style="1" customWidth="1"/>
    <col min="16140" max="16140" width="16.7109375" style="1" customWidth="1"/>
    <col min="16141" max="16141" width="10.85546875" style="1" customWidth="1"/>
    <col min="16142" max="16142" width="9.7109375" style="1" customWidth="1"/>
    <col min="16143" max="16384" width="9.140625" style="1"/>
  </cols>
  <sheetData>
    <row r="1" spans="1:23" ht="15" customHeight="1" x14ac:dyDescent="0.25">
      <c r="N1" s="6"/>
    </row>
    <row r="2" spans="1:23" ht="20.100000000000001" customHeight="1" x14ac:dyDescent="0.3">
      <c r="A2" s="1468" t="s">
        <v>154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70"/>
    </row>
    <row r="3" spans="1:23" ht="15" customHeight="1" x14ac:dyDescent="0.2"/>
    <row r="4" spans="1:23" ht="20.100000000000001" customHeight="1" x14ac:dyDescent="0.3">
      <c r="A4" s="7" t="s">
        <v>309</v>
      </c>
      <c r="M4" s="8"/>
    </row>
    <row r="5" spans="1:23" ht="15" customHeight="1" thickBot="1" x14ac:dyDescent="0.35">
      <c r="A5" s="7"/>
      <c r="N5" s="8" t="s">
        <v>0</v>
      </c>
    </row>
    <row r="6" spans="1:23" s="142" customFormat="1" ht="15.95" customHeight="1" x14ac:dyDescent="0.15">
      <c r="A6" s="1471" t="s">
        <v>104</v>
      </c>
      <c r="B6" s="1464" t="s">
        <v>156</v>
      </c>
      <c r="C6" s="1465"/>
      <c r="D6" s="1601" t="s">
        <v>164</v>
      </c>
      <c r="E6" s="1602"/>
      <c r="F6" s="1601" t="s">
        <v>132</v>
      </c>
      <c r="G6" s="1603"/>
      <c r="H6" s="1602"/>
      <c r="I6" s="1596" t="s">
        <v>165</v>
      </c>
      <c r="J6" s="1597"/>
      <c r="K6" s="1597"/>
      <c r="L6" s="1598"/>
      <c r="M6" s="1479" t="s">
        <v>151</v>
      </c>
      <c r="N6" s="1599" t="s">
        <v>157</v>
      </c>
    </row>
    <row r="7" spans="1:23" s="142" customFormat="1" ht="27.75" customHeight="1" thickBot="1" x14ac:dyDescent="0.2">
      <c r="A7" s="1472"/>
      <c r="B7" s="1466"/>
      <c r="C7" s="1467"/>
      <c r="D7" s="935" t="s">
        <v>163</v>
      </c>
      <c r="E7" s="936" t="s">
        <v>197</v>
      </c>
      <c r="F7" s="1216" t="s">
        <v>169</v>
      </c>
      <c r="G7" s="1217" t="s">
        <v>470</v>
      </c>
      <c r="H7" s="1218" t="s">
        <v>471</v>
      </c>
      <c r="I7" s="1171" t="s">
        <v>194</v>
      </c>
      <c r="J7" s="1170" t="s">
        <v>195</v>
      </c>
      <c r="K7" s="1172" t="s">
        <v>196</v>
      </c>
      <c r="L7" s="1161" t="s">
        <v>99</v>
      </c>
      <c r="M7" s="1480"/>
      <c r="N7" s="1600"/>
    </row>
    <row r="8" spans="1:23" s="18" customFormat="1" ht="20.100000000000001" customHeight="1" thickBot="1" x14ac:dyDescent="0.3">
      <c r="A8" s="9"/>
      <c r="B8" s="10" t="s">
        <v>158</v>
      </c>
      <c r="C8" s="10"/>
      <c r="D8" s="11"/>
      <c r="E8" s="12"/>
      <c r="F8" s="11"/>
      <c r="G8" s="13"/>
      <c r="H8" s="13"/>
      <c r="I8" s="14"/>
      <c r="J8" s="14"/>
      <c r="K8" s="14"/>
      <c r="L8" s="15"/>
      <c r="M8" s="16"/>
      <c r="N8" s="17"/>
    </row>
    <row r="9" spans="1:23" s="18" customFormat="1" ht="15.75" x14ac:dyDescent="0.25">
      <c r="A9" s="506">
        <v>3113</v>
      </c>
      <c r="B9" s="565" t="s">
        <v>310</v>
      </c>
      <c r="C9" s="566"/>
      <c r="D9" s="567">
        <v>0</v>
      </c>
      <c r="E9" s="568">
        <v>45</v>
      </c>
      <c r="F9" s="569">
        <v>0</v>
      </c>
      <c r="G9" s="570">
        <v>0</v>
      </c>
      <c r="H9" s="571">
        <v>0</v>
      </c>
      <c r="I9" s="392">
        <v>0</v>
      </c>
      <c r="J9" s="572">
        <v>0</v>
      </c>
      <c r="K9" s="573">
        <v>0</v>
      </c>
      <c r="L9" s="838">
        <v>0</v>
      </c>
      <c r="M9" s="585" t="s">
        <v>71</v>
      </c>
      <c r="N9" s="520" t="s">
        <v>71</v>
      </c>
    </row>
    <row r="10" spans="1:23" s="18" customFormat="1" ht="15.75" x14ac:dyDescent="0.25">
      <c r="A10" s="416">
        <v>3121</v>
      </c>
      <c r="B10" s="574" t="s">
        <v>180</v>
      </c>
      <c r="C10" s="575"/>
      <c r="D10" s="576">
        <v>0</v>
      </c>
      <c r="E10" s="577">
        <v>15</v>
      </c>
      <c r="F10" s="578">
        <v>0</v>
      </c>
      <c r="G10" s="579">
        <v>0</v>
      </c>
      <c r="H10" s="580">
        <v>0</v>
      </c>
      <c r="I10" s="443">
        <v>0</v>
      </c>
      <c r="J10" s="581">
        <v>0</v>
      </c>
      <c r="K10" s="582">
        <v>0</v>
      </c>
      <c r="L10" s="839">
        <v>0</v>
      </c>
      <c r="M10" s="504" t="s">
        <v>71</v>
      </c>
      <c r="N10" s="385" t="s">
        <v>71</v>
      </c>
    </row>
    <row r="11" spans="1:23" s="20" customFormat="1" ht="15" x14ac:dyDescent="0.2">
      <c r="A11" s="375">
        <v>3299</v>
      </c>
      <c r="B11" s="583" t="s">
        <v>311</v>
      </c>
      <c r="C11" s="584"/>
      <c r="D11" s="443">
        <v>310</v>
      </c>
      <c r="E11" s="444">
        <v>397.54</v>
      </c>
      <c r="F11" s="494">
        <v>530</v>
      </c>
      <c r="G11" s="370">
        <v>470</v>
      </c>
      <c r="H11" s="495">
        <v>154.61000000000001</v>
      </c>
      <c r="I11" s="443">
        <v>451</v>
      </c>
      <c r="J11" s="581">
        <v>53</v>
      </c>
      <c r="K11" s="448">
        <v>26</v>
      </c>
      <c r="L11" s="373">
        <f>SUM(I11:K11)</f>
        <v>530</v>
      </c>
      <c r="M11" s="504">
        <f t="shared" ref="M11:M15" si="0">L11/F11*100</f>
        <v>100</v>
      </c>
      <c r="N11" s="385">
        <f t="shared" ref="N11:N15" si="1">L11/G11*100</f>
        <v>112.7659574468085</v>
      </c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s="143" customFormat="1" ht="46.5" customHeight="1" x14ac:dyDescent="0.2">
      <c r="A12" s="416">
        <v>3541</v>
      </c>
      <c r="B12" s="1483" t="s">
        <v>474</v>
      </c>
      <c r="C12" s="1484"/>
      <c r="D12" s="443">
        <v>800</v>
      </c>
      <c r="E12" s="444">
        <v>780</v>
      </c>
      <c r="F12" s="494">
        <v>1100</v>
      </c>
      <c r="G12" s="370">
        <v>4020</v>
      </c>
      <c r="H12" s="495">
        <v>0</v>
      </c>
      <c r="I12" s="443">
        <v>85</v>
      </c>
      <c r="J12" s="581">
        <v>10</v>
      </c>
      <c r="K12" s="448">
        <v>5</v>
      </c>
      <c r="L12" s="373">
        <f t="shared" ref="L12:L14" si="2">SUM(I12:K12)</f>
        <v>100</v>
      </c>
      <c r="M12" s="504">
        <f t="shared" si="0"/>
        <v>9.0909090909090917</v>
      </c>
      <c r="N12" s="385">
        <f t="shared" si="1"/>
        <v>2.4875621890547266</v>
      </c>
    </row>
    <row r="13" spans="1:23" s="143" customFormat="1" ht="29.25" customHeight="1" x14ac:dyDescent="0.2">
      <c r="A13" s="416">
        <v>4349</v>
      </c>
      <c r="B13" s="1483" t="s">
        <v>260</v>
      </c>
      <c r="C13" s="1484"/>
      <c r="D13" s="443">
        <v>4560</v>
      </c>
      <c r="E13" s="444">
        <v>3743.79</v>
      </c>
      <c r="F13" s="494">
        <v>4040</v>
      </c>
      <c r="G13" s="370">
        <v>1748.67</v>
      </c>
      <c r="H13" s="495">
        <v>150</v>
      </c>
      <c r="I13" s="443">
        <v>884</v>
      </c>
      <c r="J13" s="581">
        <v>104</v>
      </c>
      <c r="K13" s="448">
        <v>52</v>
      </c>
      <c r="L13" s="373">
        <f t="shared" si="2"/>
        <v>1040</v>
      </c>
      <c r="M13" s="504">
        <f t="shared" si="0"/>
        <v>25.742574257425744</v>
      </c>
      <c r="N13" s="385">
        <f t="shared" si="1"/>
        <v>59.47377149490756</v>
      </c>
    </row>
    <row r="14" spans="1:23" s="143" customFormat="1" ht="15.75" thickBot="1" x14ac:dyDescent="0.25">
      <c r="A14" s="1250">
        <v>6172</v>
      </c>
      <c r="B14" s="400" t="s">
        <v>160</v>
      </c>
      <c r="C14" s="401"/>
      <c r="D14" s="402">
        <v>0</v>
      </c>
      <c r="E14" s="855">
        <v>3402.8420000000001</v>
      </c>
      <c r="F14" s="522">
        <v>4453</v>
      </c>
      <c r="G14" s="382">
        <v>5824.33</v>
      </c>
      <c r="H14" s="1257">
        <v>2106.58</v>
      </c>
      <c r="I14" s="402">
        <v>9404</v>
      </c>
      <c r="J14" s="1258">
        <v>645</v>
      </c>
      <c r="K14" s="1164">
        <v>322</v>
      </c>
      <c r="L14" s="753">
        <f t="shared" si="2"/>
        <v>10371</v>
      </c>
      <c r="M14" s="1259" t="s">
        <v>71</v>
      </c>
      <c r="N14" s="388" t="s">
        <v>71</v>
      </c>
    </row>
    <row r="15" spans="1:23" s="22" customFormat="1" ht="16.5" thickBot="1" x14ac:dyDescent="0.3">
      <c r="A15" s="1027"/>
      <c r="B15" s="1248" t="s">
        <v>99</v>
      </c>
      <c r="C15" s="1249"/>
      <c r="D15" s="956">
        <f>SUM(D9:D14)</f>
        <v>5670</v>
      </c>
      <c r="E15" s="957">
        <f t="shared" ref="E15:L15" si="3">SUM(E9:E14)</f>
        <v>8384.1720000000005</v>
      </c>
      <c r="F15" s="956">
        <f t="shared" si="3"/>
        <v>10123</v>
      </c>
      <c r="G15" s="958">
        <f t="shared" si="3"/>
        <v>12063</v>
      </c>
      <c r="H15" s="957">
        <f t="shared" si="3"/>
        <v>2411.19</v>
      </c>
      <c r="I15" s="956">
        <f t="shared" si="3"/>
        <v>10824</v>
      </c>
      <c r="J15" s="959">
        <f t="shared" si="3"/>
        <v>812</v>
      </c>
      <c r="K15" s="976">
        <f t="shared" si="3"/>
        <v>405</v>
      </c>
      <c r="L15" s="221">
        <f t="shared" si="3"/>
        <v>12041</v>
      </c>
      <c r="M15" s="971">
        <f t="shared" si="0"/>
        <v>118.94695248444138</v>
      </c>
      <c r="N15" s="972">
        <f t="shared" si="1"/>
        <v>99.817624139932022</v>
      </c>
      <c r="O15" s="21"/>
    </row>
    <row r="16" spans="1:23" ht="15" x14ac:dyDescent="0.25">
      <c r="A16" s="23"/>
      <c r="B16" s="23"/>
      <c r="C16" s="23"/>
      <c r="D16" s="921"/>
      <c r="E16" s="922"/>
      <c r="F16" s="921"/>
      <c r="G16" s="916"/>
      <c r="H16" s="916"/>
      <c r="I16" s="923"/>
      <c r="J16" s="923"/>
      <c r="K16" s="923"/>
      <c r="L16" s="923"/>
      <c r="M16" s="28"/>
      <c r="N16" s="29"/>
      <c r="O16" s="19"/>
    </row>
    <row r="17" spans="1:15" ht="15" x14ac:dyDescent="0.25">
      <c r="A17" s="23"/>
      <c r="B17" s="23"/>
      <c r="C17" s="23"/>
      <c r="D17" s="921"/>
      <c r="E17" s="922"/>
      <c r="F17" s="921"/>
      <c r="G17" s="922"/>
      <c r="H17" s="922"/>
      <c r="I17" s="921"/>
      <c r="J17" s="921"/>
      <c r="K17" s="921"/>
      <c r="L17" s="921"/>
      <c r="M17" s="28"/>
      <c r="N17" s="29"/>
      <c r="O17" s="19"/>
    </row>
    <row r="18" spans="1:15" ht="15" x14ac:dyDescent="0.25">
      <c r="A18" s="23"/>
      <c r="B18" s="23"/>
      <c r="C18" s="23"/>
      <c r="D18" s="24"/>
      <c r="E18" s="25"/>
      <c r="F18" s="24"/>
      <c r="G18" s="26"/>
      <c r="H18" s="26"/>
      <c r="I18" s="27"/>
      <c r="J18" s="27"/>
      <c r="K18" s="27"/>
      <c r="L18" s="27"/>
      <c r="M18" s="28"/>
      <c r="N18" s="29"/>
      <c r="O18" s="19"/>
    </row>
    <row r="19" spans="1:15" x14ac:dyDescent="0.2">
      <c r="A19" s="837"/>
      <c r="B19" s="837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19"/>
    </row>
    <row r="20" spans="1:15" ht="15" x14ac:dyDescent="0.25">
      <c r="A20" s="23"/>
      <c r="B20" s="23"/>
      <c r="C20" s="23"/>
      <c r="D20" s="24"/>
      <c r="E20" s="25"/>
      <c r="F20" s="24"/>
      <c r="G20" s="26"/>
      <c r="H20" s="26"/>
      <c r="I20" s="27"/>
      <c r="J20" s="27"/>
      <c r="K20" s="27"/>
      <c r="L20" s="27"/>
      <c r="M20" s="28"/>
      <c r="N20" s="29"/>
      <c r="O20" s="19"/>
    </row>
    <row r="21" spans="1:15" ht="15" x14ac:dyDescent="0.25">
      <c r="A21" s="23"/>
      <c r="B21" s="23"/>
      <c r="C21" s="23"/>
      <c r="D21" s="24"/>
      <c r="E21" s="25"/>
      <c r="F21" s="24"/>
      <c r="G21" s="26"/>
      <c r="H21" s="26"/>
      <c r="I21" s="27"/>
      <c r="J21" s="27"/>
      <c r="K21" s="27"/>
      <c r="L21" s="27"/>
      <c r="M21" s="28"/>
      <c r="N21" s="29"/>
      <c r="O21" s="19"/>
    </row>
    <row r="26" spans="1:15" x14ac:dyDescent="0.2">
      <c r="A26" s="47"/>
    </row>
    <row r="27" spans="1:15" x14ac:dyDescent="0.2">
      <c r="A27" s="47"/>
    </row>
    <row r="28" spans="1:15" x14ac:dyDescent="0.2">
      <c r="A28" s="47"/>
    </row>
    <row r="30" spans="1:15" x14ac:dyDescent="0.2">
      <c r="A30" s="47"/>
    </row>
    <row r="31" spans="1:15" x14ac:dyDescent="0.2">
      <c r="A31" s="47"/>
    </row>
    <row r="37" spans="1:1" x14ac:dyDescent="0.2">
      <c r="A37" s="242"/>
    </row>
  </sheetData>
  <mergeCells count="10">
    <mergeCell ref="B13:C13"/>
    <mergeCell ref="B6:C7"/>
    <mergeCell ref="D6:E6"/>
    <mergeCell ref="F6:H6"/>
    <mergeCell ref="B12:C12"/>
    <mergeCell ref="I6:L6"/>
    <mergeCell ref="A2:N2"/>
    <mergeCell ref="A6:A7"/>
    <mergeCell ref="M6:M7"/>
    <mergeCell ref="N6:N7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workbookViewId="0">
      <selection activeCell="I23" sqref="I23"/>
    </sheetView>
  </sheetViews>
  <sheetFormatPr defaultRowHeight="12.75" x14ac:dyDescent="0.2"/>
  <cols>
    <col min="1" max="1" width="37.85546875" style="47" customWidth="1"/>
    <col min="2" max="2" width="13.7109375" style="83" customWidth="1"/>
    <col min="3" max="4" width="14.7109375" style="52" bestFit="1" customWidth="1"/>
    <col min="5" max="6" width="13.7109375" style="83" customWidth="1"/>
    <col min="7" max="8" width="14.7109375" style="52" bestFit="1" customWidth="1"/>
    <col min="9" max="10" width="13.7109375" style="83" customWidth="1"/>
    <col min="11" max="12" width="15.5703125" style="52" bestFit="1" customWidth="1"/>
    <col min="13" max="13" width="13.7109375" style="83" customWidth="1"/>
    <col min="14" max="16" width="18.7109375" style="83" customWidth="1"/>
    <col min="17" max="18" width="9.140625" style="47"/>
    <col min="19" max="19" width="13.42578125" style="52" bestFit="1" customWidth="1"/>
    <col min="20" max="16384" width="9.140625" style="47"/>
  </cols>
  <sheetData>
    <row r="1" spans="1:16" ht="15" customHeight="1" x14ac:dyDescent="0.2"/>
    <row r="2" spans="1:16" ht="20.100000000000001" customHeight="1" x14ac:dyDescent="0.35">
      <c r="A2" s="33" t="s">
        <v>150</v>
      </c>
      <c r="B2" s="137"/>
      <c r="C2" s="138"/>
      <c r="D2" s="138"/>
    </row>
    <row r="3" spans="1:16" ht="15" customHeight="1" x14ac:dyDescent="0.2"/>
    <row r="4" spans="1:16" ht="20.100000000000001" customHeight="1" x14ac:dyDescent="0.3">
      <c r="A4" s="1604" t="s">
        <v>125</v>
      </c>
      <c r="B4" s="1604"/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</row>
    <row r="5" spans="1:16" ht="15" customHeight="1" x14ac:dyDescent="0.3">
      <c r="A5" s="82"/>
      <c r="B5" s="139"/>
      <c r="C5" s="140"/>
      <c r="D5" s="140"/>
    </row>
    <row r="6" spans="1:16" ht="15" customHeight="1" thickBot="1" x14ac:dyDescent="0.3">
      <c r="P6" s="91" t="s">
        <v>0</v>
      </c>
    </row>
    <row r="7" spans="1:16" ht="25.5" customHeight="1" x14ac:dyDescent="0.2">
      <c r="A7" s="1621" t="s">
        <v>27</v>
      </c>
      <c r="B7" s="1605" t="s">
        <v>100</v>
      </c>
      <c r="C7" s="1606"/>
      <c r="D7" s="1606"/>
      <c r="E7" s="1607"/>
      <c r="F7" s="1608" t="s">
        <v>101</v>
      </c>
      <c r="G7" s="1609"/>
      <c r="H7" s="1609"/>
      <c r="I7" s="1610"/>
      <c r="J7" s="1611" t="s">
        <v>102</v>
      </c>
      <c r="K7" s="1609"/>
      <c r="L7" s="1609"/>
      <c r="M7" s="1610"/>
      <c r="N7" s="1612" t="s">
        <v>458</v>
      </c>
      <c r="O7" s="1615" t="s">
        <v>481</v>
      </c>
      <c r="P7" s="1618" t="s">
        <v>479</v>
      </c>
    </row>
    <row r="8" spans="1:16" ht="24.75" customHeight="1" x14ac:dyDescent="0.2">
      <c r="A8" s="1622"/>
      <c r="B8" s="1624" t="s">
        <v>132</v>
      </c>
      <c r="C8" s="1625"/>
      <c r="D8" s="1625"/>
      <c r="E8" s="1626" t="s">
        <v>149</v>
      </c>
      <c r="F8" s="1624" t="s">
        <v>132</v>
      </c>
      <c r="G8" s="1625"/>
      <c r="H8" s="1628"/>
      <c r="I8" s="1626" t="s">
        <v>149</v>
      </c>
      <c r="J8" s="1624" t="s">
        <v>132</v>
      </c>
      <c r="K8" s="1625"/>
      <c r="L8" s="1628"/>
      <c r="M8" s="1626" t="s">
        <v>149</v>
      </c>
      <c r="N8" s="1613"/>
      <c r="O8" s="1616"/>
      <c r="P8" s="1619"/>
    </row>
    <row r="9" spans="1:16" ht="27" customHeight="1" thickBot="1" x14ac:dyDescent="0.25">
      <c r="A9" s="1623"/>
      <c r="B9" s="719" t="s">
        <v>163</v>
      </c>
      <c r="C9" s="720" t="s">
        <v>470</v>
      </c>
      <c r="D9" s="721" t="s">
        <v>471</v>
      </c>
      <c r="E9" s="1627"/>
      <c r="F9" s="719" t="s">
        <v>163</v>
      </c>
      <c r="G9" s="720" t="s">
        <v>470</v>
      </c>
      <c r="H9" s="721" t="s">
        <v>471</v>
      </c>
      <c r="I9" s="1627"/>
      <c r="J9" s="719" t="s">
        <v>163</v>
      </c>
      <c r="K9" s="720" t="s">
        <v>470</v>
      </c>
      <c r="L9" s="721" t="s">
        <v>471</v>
      </c>
      <c r="M9" s="1627"/>
      <c r="N9" s="1614"/>
      <c r="O9" s="1617"/>
      <c r="P9" s="1620"/>
    </row>
    <row r="10" spans="1:16" ht="20.25" customHeight="1" x14ac:dyDescent="0.25">
      <c r="A10" s="332" t="s">
        <v>28</v>
      </c>
      <c r="B10" s="696">
        <v>88723</v>
      </c>
      <c r="C10" s="697">
        <v>94903.83</v>
      </c>
      <c r="D10" s="698">
        <v>46038.53</v>
      </c>
      <c r="E10" s="328">
        <v>89002</v>
      </c>
      <c r="F10" s="699">
        <v>35847</v>
      </c>
      <c r="G10" s="700">
        <v>33625.85</v>
      </c>
      <c r="H10" s="700">
        <v>22576.95</v>
      </c>
      <c r="I10" s="1037">
        <v>33408</v>
      </c>
      <c r="J10" s="701">
        <v>1930</v>
      </c>
      <c r="K10" s="702">
        <v>1430</v>
      </c>
      <c r="L10" s="702">
        <v>250.16</v>
      </c>
      <c r="M10" s="1037">
        <v>1000</v>
      </c>
      <c r="N10" s="333">
        <v>10000</v>
      </c>
      <c r="O10" s="334">
        <v>0</v>
      </c>
      <c r="P10" s="703">
        <f>SUM(M10:O10)</f>
        <v>11000</v>
      </c>
    </row>
    <row r="11" spans="1:16" ht="20.25" customHeight="1" x14ac:dyDescent="0.25">
      <c r="A11" s="338" t="s">
        <v>29</v>
      </c>
      <c r="B11" s="696">
        <v>571844</v>
      </c>
      <c r="C11" s="697">
        <v>603102.96</v>
      </c>
      <c r="D11" s="698">
        <v>377919.43999999994</v>
      </c>
      <c r="E11" s="328">
        <v>592098</v>
      </c>
      <c r="F11" s="699">
        <v>483075</v>
      </c>
      <c r="G11" s="700">
        <v>506417</v>
      </c>
      <c r="H11" s="700">
        <v>325512.74</v>
      </c>
      <c r="I11" s="1038">
        <v>506417</v>
      </c>
      <c r="J11" s="704">
        <v>8681</v>
      </c>
      <c r="K11" s="700">
        <v>15206.21</v>
      </c>
      <c r="L11" s="700">
        <v>6891.85</v>
      </c>
      <c r="M11" s="1038">
        <v>8709</v>
      </c>
      <c r="N11" s="346">
        <v>10000</v>
      </c>
      <c r="O11" s="347">
        <v>0</v>
      </c>
      <c r="P11" s="703">
        <f t="shared" ref="P11:P28" si="0">SUM(M11:O11)</f>
        <v>18709</v>
      </c>
    </row>
    <row r="12" spans="1:16" ht="20.25" customHeight="1" x14ac:dyDescent="0.25">
      <c r="A12" s="338" t="s">
        <v>30</v>
      </c>
      <c r="B12" s="696">
        <v>37443</v>
      </c>
      <c r="C12" s="697">
        <v>42340.49</v>
      </c>
      <c r="D12" s="698">
        <v>25739.03</v>
      </c>
      <c r="E12" s="328">
        <v>48243</v>
      </c>
      <c r="F12" s="699">
        <v>0</v>
      </c>
      <c r="G12" s="700">
        <v>0</v>
      </c>
      <c r="H12" s="700">
        <v>0</v>
      </c>
      <c r="I12" s="1038">
        <v>0</v>
      </c>
      <c r="J12" s="704">
        <v>250</v>
      </c>
      <c r="K12" s="700">
        <v>261.69</v>
      </c>
      <c r="L12" s="700">
        <v>45.55</v>
      </c>
      <c r="M12" s="1038">
        <v>250</v>
      </c>
      <c r="N12" s="346">
        <v>30000</v>
      </c>
      <c r="O12" s="347">
        <v>0</v>
      </c>
      <c r="P12" s="703">
        <f t="shared" si="0"/>
        <v>30250</v>
      </c>
    </row>
    <row r="13" spans="1:16" ht="20.25" customHeight="1" x14ac:dyDescent="0.25">
      <c r="A13" s="312" t="s">
        <v>31</v>
      </c>
      <c r="B13" s="705">
        <v>4380728</v>
      </c>
      <c r="C13" s="706">
        <v>4552824.46</v>
      </c>
      <c r="D13" s="707">
        <v>3107562.2499999995</v>
      </c>
      <c r="E13" s="328">
        <v>4841697</v>
      </c>
      <c r="F13" s="699">
        <v>138737</v>
      </c>
      <c r="G13" s="700">
        <v>145673.85</v>
      </c>
      <c r="H13" s="700">
        <v>97155</v>
      </c>
      <c r="I13" s="1038">
        <v>163015</v>
      </c>
      <c r="J13" s="704">
        <v>1407377</v>
      </c>
      <c r="K13" s="912">
        <v>1494010.09</v>
      </c>
      <c r="L13" s="912">
        <v>980378.6100000001</v>
      </c>
      <c r="M13" s="1038">
        <v>1522775</v>
      </c>
      <c r="N13" s="346">
        <v>205000</v>
      </c>
      <c r="O13" s="347">
        <v>2460483</v>
      </c>
      <c r="P13" s="703">
        <f t="shared" si="0"/>
        <v>4188258</v>
      </c>
    </row>
    <row r="14" spans="1:16" ht="20.25" customHeight="1" x14ac:dyDescent="0.25">
      <c r="A14" s="338" t="s">
        <v>130</v>
      </c>
      <c r="B14" s="696">
        <v>632115</v>
      </c>
      <c r="C14" s="697">
        <v>654418.74999999988</v>
      </c>
      <c r="D14" s="698">
        <v>437314.15</v>
      </c>
      <c r="E14" s="328">
        <v>662755</v>
      </c>
      <c r="F14" s="699">
        <v>12800</v>
      </c>
      <c r="G14" s="700">
        <v>13496.45</v>
      </c>
      <c r="H14" s="700">
        <v>10802.94</v>
      </c>
      <c r="I14" s="1038">
        <v>13440</v>
      </c>
      <c r="J14" s="708">
        <v>111000</v>
      </c>
      <c r="K14" s="709">
        <v>129480.11</v>
      </c>
      <c r="L14" s="709">
        <v>63199.09</v>
      </c>
      <c r="M14" s="1038">
        <v>101000</v>
      </c>
      <c r="N14" s="346">
        <v>80000</v>
      </c>
      <c r="O14" s="347">
        <v>69937</v>
      </c>
      <c r="P14" s="703">
        <f t="shared" si="0"/>
        <v>250937</v>
      </c>
    </row>
    <row r="15" spans="1:16" ht="20.25" customHeight="1" x14ac:dyDescent="0.25">
      <c r="A15" s="338" t="s">
        <v>32</v>
      </c>
      <c r="B15" s="696">
        <v>380169</v>
      </c>
      <c r="C15" s="697">
        <v>439676.34</v>
      </c>
      <c r="D15" s="698">
        <v>292033.97000000003</v>
      </c>
      <c r="E15" s="328">
        <v>395886</v>
      </c>
      <c r="F15" s="699">
        <v>247345</v>
      </c>
      <c r="G15" s="700">
        <v>262852.53999999998</v>
      </c>
      <c r="H15" s="700">
        <v>196919.49</v>
      </c>
      <c r="I15" s="1038">
        <v>262853</v>
      </c>
      <c r="J15" s="708">
        <v>18460</v>
      </c>
      <c r="K15" s="709">
        <v>19904.14</v>
      </c>
      <c r="L15" s="709">
        <v>13709.87</v>
      </c>
      <c r="M15" s="1038">
        <v>18460</v>
      </c>
      <c r="N15" s="346">
        <v>50000</v>
      </c>
      <c r="O15" s="347">
        <v>62844</v>
      </c>
      <c r="P15" s="703">
        <f t="shared" si="0"/>
        <v>131304</v>
      </c>
    </row>
    <row r="16" spans="1:16" ht="20.25" customHeight="1" x14ac:dyDescent="0.25">
      <c r="A16" s="338" t="s">
        <v>452</v>
      </c>
      <c r="B16" s="696">
        <v>705382</v>
      </c>
      <c r="C16" s="697">
        <v>752632.17999999993</v>
      </c>
      <c r="D16" s="698">
        <v>576892.12</v>
      </c>
      <c r="E16" s="328">
        <v>735569</v>
      </c>
      <c r="F16" s="699">
        <v>603741</v>
      </c>
      <c r="G16" s="700">
        <v>633928.05000000005</v>
      </c>
      <c r="H16" s="700">
        <v>476542.71</v>
      </c>
      <c r="I16" s="1038">
        <v>635059</v>
      </c>
      <c r="J16" s="704">
        <v>1757</v>
      </c>
      <c r="K16" s="700">
        <v>13951</v>
      </c>
      <c r="L16" s="700">
        <v>9417.6</v>
      </c>
      <c r="M16" s="1038">
        <v>2476</v>
      </c>
      <c r="N16" s="346">
        <v>220000</v>
      </c>
      <c r="O16" s="347">
        <v>19426</v>
      </c>
      <c r="P16" s="703">
        <f t="shared" si="0"/>
        <v>241902</v>
      </c>
    </row>
    <row r="17" spans="1:19" ht="20.25" customHeight="1" x14ac:dyDescent="0.25">
      <c r="A17" s="338" t="s">
        <v>34</v>
      </c>
      <c r="B17" s="696">
        <v>148349</v>
      </c>
      <c r="C17" s="697">
        <v>198384.01500000001</v>
      </c>
      <c r="D17" s="911">
        <v>127127.05999999998</v>
      </c>
      <c r="E17" s="328">
        <v>176608</v>
      </c>
      <c r="F17" s="699">
        <v>9455</v>
      </c>
      <c r="G17" s="700">
        <v>18713.95</v>
      </c>
      <c r="H17" s="912">
        <v>10564.38</v>
      </c>
      <c r="I17" s="1038">
        <v>18713</v>
      </c>
      <c r="J17" s="704">
        <v>1471</v>
      </c>
      <c r="K17" s="912">
        <v>1471</v>
      </c>
      <c r="L17" s="912">
        <v>0</v>
      </c>
      <c r="M17" s="1038">
        <v>1610</v>
      </c>
      <c r="N17" s="346">
        <v>6000</v>
      </c>
      <c r="O17" s="347">
        <v>6186</v>
      </c>
      <c r="P17" s="703">
        <f t="shared" si="0"/>
        <v>13796</v>
      </c>
    </row>
    <row r="18" spans="1:19" ht="20.25" customHeight="1" x14ac:dyDescent="0.25">
      <c r="A18" s="338" t="s">
        <v>35</v>
      </c>
      <c r="B18" s="696">
        <v>21961</v>
      </c>
      <c r="C18" s="697">
        <v>27169.98</v>
      </c>
      <c r="D18" s="698">
        <v>17096.63</v>
      </c>
      <c r="E18" s="328">
        <v>23094</v>
      </c>
      <c r="F18" s="699">
        <v>17656</v>
      </c>
      <c r="G18" s="700">
        <v>18538.8</v>
      </c>
      <c r="H18" s="700">
        <v>14124.8</v>
      </c>
      <c r="I18" s="1038">
        <v>18192</v>
      </c>
      <c r="J18" s="704">
        <v>70</v>
      </c>
      <c r="K18" s="700">
        <v>1657.67</v>
      </c>
      <c r="L18" s="700">
        <v>139.79</v>
      </c>
      <c r="M18" s="1038">
        <v>70</v>
      </c>
      <c r="N18" s="346">
        <v>1000</v>
      </c>
      <c r="O18" s="347">
        <v>68969</v>
      </c>
      <c r="P18" s="703">
        <f t="shared" si="0"/>
        <v>70039</v>
      </c>
    </row>
    <row r="19" spans="1:19" ht="20.25" customHeight="1" x14ac:dyDescent="0.25">
      <c r="A19" s="338" t="s">
        <v>36</v>
      </c>
      <c r="B19" s="696">
        <v>52075</v>
      </c>
      <c r="C19" s="697">
        <v>92941.57</v>
      </c>
      <c r="D19" s="698">
        <v>42861.91</v>
      </c>
      <c r="E19" s="328">
        <v>52075</v>
      </c>
      <c r="F19" s="699">
        <v>0</v>
      </c>
      <c r="G19" s="700">
        <v>0</v>
      </c>
      <c r="H19" s="700">
        <v>0</v>
      </c>
      <c r="I19" s="1038">
        <v>0</v>
      </c>
      <c r="J19" s="704">
        <v>200</v>
      </c>
      <c r="K19" s="700">
        <v>227.03</v>
      </c>
      <c r="L19" s="700">
        <v>0</v>
      </c>
      <c r="M19" s="1038">
        <v>200</v>
      </c>
      <c r="N19" s="346">
        <v>8000</v>
      </c>
      <c r="O19" s="347">
        <v>8245</v>
      </c>
      <c r="P19" s="703">
        <f t="shared" si="0"/>
        <v>16445</v>
      </c>
    </row>
    <row r="20" spans="1:19" ht="20.25" customHeight="1" x14ac:dyDescent="0.25">
      <c r="A20" s="338" t="s">
        <v>37</v>
      </c>
      <c r="B20" s="696">
        <v>12827</v>
      </c>
      <c r="C20" s="697">
        <v>215453.61</v>
      </c>
      <c r="D20" s="698">
        <v>19936.61</v>
      </c>
      <c r="E20" s="328">
        <v>13827</v>
      </c>
      <c r="F20" s="699">
        <v>0</v>
      </c>
      <c r="G20" s="700">
        <v>0</v>
      </c>
      <c r="H20" s="700">
        <v>0</v>
      </c>
      <c r="I20" s="1038">
        <v>0</v>
      </c>
      <c r="J20" s="704">
        <v>5170</v>
      </c>
      <c r="K20" s="912">
        <v>5043.4799999999996</v>
      </c>
      <c r="L20" s="912">
        <v>2122.6999999999998</v>
      </c>
      <c r="M20" s="1038">
        <v>5170</v>
      </c>
      <c r="N20" s="346">
        <v>0</v>
      </c>
      <c r="O20" s="347">
        <v>0</v>
      </c>
      <c r="P20" s="703">
        <f t="shared" si="0"/>
        <v>5170</v>
      </c>
    </row>
    <row r="21" spans="1:19" ht="20.25" customHeight="1" x14ac:dyDescent="0.25">
      <c r="A21" s="338" t="s">
        <v>38</v>
      </c>
      <c r="B21" s="696">
        <v>5000</v>
      </c>
      <c r="C21" s="697">
        <v>6347.0599999999995</v>
      </c>
      <c r="D21" s="698">
        <v>2245.5700000000002</v>
      </c>
      <c r="E21" s="328">
        <v>7000</v>
      </c>
      <c r="F21" s="699">
        <v>0</v>
      </c>
      <c r="G21" s="700">
        <v>0</v>
      </c>
      <c r="H21" s="700">
        <v>0</v>
      </c>
      <c r="I21" s="1038">
        <v>0</v>
      </c>
      <c r="J21" s="704">
        <v>0</v>
      </c>
      <c r="K21" s="700">
        <v>0</v>
      </c>
      <c r="L21" s="700">
        <v>0</v>
      </c>
      <c r="M21" s="1038">
        <v>0</v>
      </c>
      <c r="N21" s="346">
        <v>0</v>
      </c>
      <c r="O21" s="347">
        <v>0</v>
      </c>
      <c r="P21" s="703">
        <f t="shared" si="0"/>
        <v>0</v>
      </c>
    </row>
    <row r="22" spans="1:19" ht="20.25" customHeight="1" x14ac:dyDescent="0.25">
      <c r="A22" s="345" t="s">
        <v>95</v>
      </c>
      <c r="B22" s="313">
        <v>4400</v>
      </c>
      <c r="C22" s="315">
        <v>10655.699999999999</v>
      </c>
      <c r="D22" s="348">
        <v>74.900000000000006</v>
      </c>
      <c r="E22" s="328">
        <v>4400</v>
      </c>
      <c r="F22" s="699">
        <v>0</v>
      </c>
      <c r="G22" s="700">
        <v>0</v>
      </c>
      <c r="H22" s="700">
        <v>0</v>
      </c>
      <c r="I22" s="1038">
        <v>0</v>
      </c>
      <c r="J22" s="704">
        <v>0</v>
      </c>
      <c r="K22" s="700">
        <v>0</v>
      </c>
      <c r="L22" s="700">
        <v>0</v>
      </c>
      <c r="M22" s="1038">
        <v>0</v>
      </c>
      <c r="N22" s="346">
        <v>0</v>
      </c>
      <c r="O22" s="347">
        <v>0</v>
      </c>
      <c r="P22" s="703">
        <f t="shared" si="0"/>
        <v>0</v>
      </c>
    </row>
    <row r="23" spans="1:19" ht="20.25" customHeight="1" x14ac:dyDescent="0.25">
      <c r="A23" s="338" t="s">
        <v>65</v>
      </c>
      <c r="B23" s="696">
        <v>0</v>
      </c>
      <c r="C23" s="697">
        <v>53.17</v>
      </c>
      <c r="D23" s="698">
        <v>11.17</v>
      </c>
      <c r="E23" s="328">
        <v>0</v>
      </c>
      <c r="F23" s="699">
        <v>0</v>
      </c>
      <c r="G23" s="700">
        <v>0</v>
      </c>
      <c r="H23" s="700">
        <v>0</v>
      </c>
      <c r="I23" s="1038">
        <v>0</v>
      </c>
      <c r="J23" s="704">
        <v>0</v>
      </c>
      <c r="K23" s="700">
        <v>0</v>
      </c>
      <c r="L23" s="700">
        <v>0</v>
      </c>
      <c r="M23" s="1038">
        <v>0</v>
      </c>
      <c r="N23" s="346">
        <v>0</v>
      </c>
      <c r="O23" s="347">
        <v>0</v>
      </c>
      <c r="P23" s="703">
        <f t="shared" si="0"/>
        <v>0</v>
      </c>
    </row>
    <row r="24" spans="1:19" ht="20.25" customHeight="1" x14ac:dyDescent="0.25">
      <c r="A24" s="338" t="s">
        <v>39</v>
      </c>
      <c r="B24" s="696">
        <v>326648</v>
      </c>
      <c r="C24" s="697">
        <v>363429.05999999994</v>
      </c>
      <c r="D24" s="698">
        <v>276800.63999999996</v>
      </c>
      <c r="E24" s="328">
        <v>343248</v>
      </c>
      <c r="F24" s="699">
        <v>190874</v>
      </c>
      <c r="G24" s="700">
        <v>206089.66999999998</v>
      </c>
      <c r="H24" s="700">
        <v>161974.37999999998</v>
      </c>
      <c r="I24" s="1038">
        <v>208731</v>
      </c>
      <c r="J24" s="704">
        <v>42938</v>
      </c>
      <c r="K24" s="700">
        <v>34855.94</v>
      </c>
      <c r="L24" s="700">
        <v>21709.919999999998</v>
      </c>
      <c r="M24" s="1038">
        <v>44623</v>
      </c>
      <c r="N24" s="346">
        <v>70000</v>
      </c>
      <c r="O24" s="347">
        <v>3011</v>
      </c>
      <c r="P24" s="703">
        <f t="shared" si="0"/>
        <v>117634</v>
      </c>
    </row>
    <row r="25" spans="1:19" ht="20.25" customHeight="1" x14ac:dyDescent="0.25">
      <c r="A25" s="345" t="s">
        <v>96</v>
      </c>
      <c r="B25" s="313">
        <v>5750</v>
      </c>
      <c r="C25" s="315">
        <v>13356.06</v>
      </c>
      <c r="D25" s="348">
        <v>3991.6300000000006</v>
      </c>
      <c r="E25" s="328">
        <v>4750</v>
      </c>
      <c r="F25" s="699">
        <v>0</v>
      </c>
      <c r="G25" s="700">
        <v>0</v>
      </c>
      <c r="H25" s="700">
        <v>0</v>
      </c>
      <c r="I25" s="1038">
        <v>0</v>
      </c>
      <c r="J25" s="704">
        <v>0</v>
      </c>
      <c r="K25" s="700">
        <v>0</v>
      </c>
      <c r="L25" s="700">
        <v>0</v>
      </c>
      <c r="M25" s="1038">
        <v>0</v>
      </c>
      <c r="N25" s="346">
        <v>0</v>
      </c>
      <c r="O25" s="347">
        <v>0</v>
      </c>
      <c r="P25" s="703">
        <f t="shared" si="0"/>
        <v>0</v>
      </c>
    </row>
    <row r="26" spans="1:19" ht="20.25" customHeight="1" x14ac:dyDescent="0.25">
      <c r="A26" s="345" t="s">
        <v>77</v>
      </c>
      <c r="B26" s="696">
        <v>0</v>
      </c>
      <c r="C26" s="697">
        <v>21016.17</v>
      </c>
      <c r="D26" s="698">
        <v>9891.15</v>
      </c>
      <c r="E26" s="328">
        <v>0</v>
      </c>
      <c r="F26" s="699">
        <v>0</v>
      </c>
      <c r="G26" s="700">
        <v>0</v>
      </c>
      <c r="H26" s="700">
        <v>0</v>
      </c>
      <c r="I26" s="1038">
        <v>0</v>
      </c>
      <c r="J26" s="704">
        <v>0</v>
      </c>
      <c r="K26" s="700">
        <v>0</v>
      </c>
      <c r="L26" s="700">
        <v>0</v>
      </c>
      <c r="M26" s="1038">
        <v>0</v>
      </c>
      <c r="N26" s="346">
        <v>0</v>
      </c>
      <c r="O26" s="347">
        <v>0</v>
      </c>
      <c r="P26" s="703">
        <f t="shared" si="0"/>
        <v>0</v>
      </c>
    </row>
    <row r="27" spans="1:19" ht="20.25" customHeight="1" x14ac:dyDescent="0.25">
      <c r="A27" s="338" t="s">
        <v>40</v>
      </c>
      <c r="B27" s="696">
        <v>11500</v>
      </c>
      <c r="C27" s="697">
        <v>29491.83</v>
      </c>
      <c r="D27" s="698">
        <v>26660.14</v>
      </c>
      <c r="E27" s="328">
        <v>12500</v>
      </c>
      <c r="F27" s="699">
        <v>187000</v>
      </c>
      <c r="G27" s="700">
        <v>81746.460000000006</v>
      </c>
      <c r="H27" s="700">
        <v>0</v>
      </c>
      <c r="I27" s="1038">
        <v>0</v>
      </c>
      <c r="J27" s="704">
        <v>0</v>
      </c>
      <c r="K27" s="700">
        <v>0</v>
      </c>
      <c r="L27" s="700">
        <v>0</v>
      </c>
      <c r="M27" s="1038">
        <v>0</v>
      </c>
      <c r="N27" s="346">
        <v>0</v>
      </c>
      <c r="O27" s="347">
        <v>0</v>
      </c>
      <c r="P27" s="703">
        <f t="shared" si="0"/>
        <v>0</v>
      </c>
    </row>
    <row r="28" spans="1:19" ht="20.25" customHeight="1" thickBot="1" x14ac:dyDescent="0.3">
      <c r="A28" s="710" t="s">
        <v>98</v>
      </c>
      <c r="B28" s="711">
        <v>10123</v>
      </c>
      <c r="C28" s="712">
        <v>12063</v>
      </c>
      <c r="D28" s="713">
        <v>2411.1889999999999</v>
      </c>
      <c r="E28" s="825">
        <v>12041</v>
      </c>
      <c r="F28" s="714">
        <v>0</v>
      </c>
      <c r="G28" s="715">
        <v>0</v>
      </c>
      <c r="H28" s="715">
        <v>0</v>
      </c>
      <c r="I28" s="1039">
        <v>0</v>
      </c>
      <c r="J28" s="716">
        <v>0</v>
      </c>
      <c r="K28" s="715">
        <v>0</v>
      </c>
      <c r="L28" s="715">
        <v>0</v>
      </c>
      <c r="M28" s="1260">
        <v>0</v>
      </c>
      <c r="N28" s="350">
        <v>10000</v>
      </c>
      <c r="O28" s="351">
        <v>899</v>
      </c>
      <c r="P28" s="1204">
        <f t="shared" si="0"/>
        <v>10899</v>
      </c>
    </row>
    <row r="29" spans="1:19" s="60" customFormat="1" ht="30" customHeight="1" thickBot="1" x14ac:dyDescent="0.3">
      <c r="A29" s="1028" t="s">
        <v>99</v>
      </c>
      <c r="B29" s="1029">
        <f t="shared" ref="B29:P29" si="1">SUM(B10:B28)</f>
        <v>7395037</v>
      </c>
      <c r="C29" s="1030">
        <f t="shared" si="1"/>
        <v>8130260.2349999994</v>
      </c>
      <c r="D29" s="1031">
        <f t="shared" si="1"/>
        <v>5392608.0889999997</v>
      </c>
      <c r="E29" s="1036">
        <f t="shared" si="1"/>
        <v>8014793</v>
      </c>
      <c r="F29" s="1032">
        <f t="shared" si="1"/>
        <v>1926530</v>
      </c>
      <c r="G29" s="1033">
        <f t="shared" si="1"/>
        <v>1921082.6199999999</v>
      </c>
      <c r="H29" s="1033">
        <f t="shared" si="1"/>
        <v>1316173.3899999999</v>
      </c>
      <c r="I29" s="1036">
        <f t="shared" si="1"/>
        <v>1859828</v>
      </c>
      <c r="J29" s="1034">
        <f t="shared" si="1"/>
        <v>1599304</v>
      </c>
      <c r="K29" s="1035">
        <f t="shared" si="1"/>
        <v>1717498.3599999999</v>
      </c>
      <c r="L29" s="1035">
        <f t="shared" si="1"/>
        <v>1097865.1400000004</v>
      </c>
      <c r="M29" s="256">
        <f t="shared" si="1"/>
        <v>1706343</v>
      </c>
      <c r="N29" s="1205">
        <f t="shared" si="1"/>
        <v>700000</v>
      </c>
      <c r="O29" s="1040">
        <f t="shared" si="1"/>
        <v>2700000</v>
      </c>
      <c r="P29" s="1206">
        <f t="shared" si="1"/>
        <v>5106343</v>
      </c>
      <c r="S29" s="1181"/>
    </row>
    <row r="31" spans="1:19" x14ac:dyDescent="0.2">
      <c r="B31" s="52"/>
      <c r="I31" s="52"/>
      <c r="M31" s="52"/>
      <c r="N31" s="52"/>
      <c r="O31" s="52"/>
    </row>
    <row r="32" spans="1:19" ht="30" customHeight="1" x14ac:dyDescent="0.2">
      <c r="A32" s="1431" t="s">
        <v>480</v>
      </c>
      <c r="B32" s="1431"/>
      <c r="C32" s="1431"/>
      <c r="D32" s="1431"/>
      <c r="E32" s="1431"/>
      <c r="F32" s="1431"/>
      <c r="G32" s="1431"/>
      <c r="H32" s="1431"/>
      <c r="I32" s="1431"/>
      <c r="J32" s="1431"/>
      <c r="K32" s="1431"/>
      <c r="L32" s="1431"/>
      <c r="M32" s="1431"/>
      <c r="N32" s="1431"/>
      <c r="O32" s="1431"/>
      <c r="P32" s="1431"/>
    </row>
  </sheetData>
  <mergeCells count="15">
    <mergeCell ref="A4:P4"/>
    <mergeCell ref="A32:P32"/>
    <mergeCell ref="B7:E7"/>
    <mergeCell ref="F7:I7"/>
    <mergeCell ref="J7:M7"/>
    <mergeCell ref="N7:N9"/>
    <mergeCell ref="O7:O9"/>
    <mergeCell ref="P7:P9"/>
    <mergeCell ref="A7:A9"/>
    <mergeCell ref="B8:D8"/>
    <mergeCell ref="E8:E9"/>
    <mergeCell ref="F8:H8"/>
    <mergeCell ref="I8:I9"/>
    <mergeCell ref="J8:L8"/>
    <mergeCell ref="M8:M9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9"/>
  <sheetViews>
    <sheetView workbookViewId="0">
      <selection activeCell="B27" sqref="B27"/>
    </sheetView>
  </sheetViews>
  <sheetFormatPr defaultRowHeight="15" x14ac:dyDescent="0.25"/>
  <cols>
    <col min="1" max="1" width="69.140625" style="42" customWidth="1"/>
    <col min="2" max="6" width="16.7109375" style="43" customWidth="1"/>
    <col min="7" max="7" width="18.5703125" style="46" customWidth="1"/>
    <col min="8" max="8" width="10.7109375" style="68" customWidth="1"/>
    <col min="9" max="9" width="20.140625" style="46" customWidth="1"/>
    <col min="10" max="10" width="7.85546875" style="47" customWidth="1"/>
    <col min="11" max="11" width="20.140625" style="46" customWidth="1"/>
    <col min="12" max="16384" width="9.140625" style="47"/>
  </cols>
  <sheetData>
    <row r="1" spans="1:11" ht="15" customHeight="1" x14ac:dyDescent="0.25">
      <c r="H1" s="44"/>
    </row>
    <row r="2" spans="1:11" s="31" customFormat="1" ht="24" customHeight="1" x14ac:dyDescent="0.35">
      <c r="A2" s="48" t="s">
        <v>150</v>
      </c>
      <c r="B2" s="49"/>
      <c r="C2" s="49"/>
      <c r="D2" s="49"/>
      <c r="E2" s="49"/>
      <c r="F2" s="49"/>
      <c r="G2" s="50"/>
      <c r="I2" s="50"/>
      <c r="K2" s="50"/>
    </row>
    <row r="3" spans="1:11" ht="15" customHeight="1" x14ac:dyDescent="0.3">
      <c r="A3" s="51"/>
      <c r="B3" s="52"/>
      <c r="C3" s="52"/>
      <c r="D3" s="52"/>
      <c r="E3" s="52"/>
      <c r="F3" s="52"/>
      <c r="H3" s="47"/>
    </row>
    <row r="4" spans="1:11" ht="20.100000000000001" customHeight="1" x14ac:dyDescent="0.3">
      <c r="A4" s="51" t="s">
        <v>42</v>
      </c>
      <c r="B4" s="52"/>
      <c r="C4" s="52"/>
      <c r="D4" s="52"/>
      <c r="E4" s="52"/>
      <c r="F4" s="52"/>
      <c r="H4" s="47"/>
    </row>
    <row r="5" spans="1:11" ht="15" customHeight="1" x14ac:dyDescent="0.3">
      <c r="A5" s="51"/>
      <c r="B5" s="52"/>
      <c r="C5" s="52"/>
      <c r="D5" s="52"/>
      <c r="E5" s="52"/>
      <c r="F5" s="52"/>
      <c r="H5" s="47"/>
    </row>
    <row r="6" spans="1:11" ht="15" customHeight="1" thickBot="1" x14ac:dyDescent="0.3">
      <c r="B6" s="53"/>
      <c r="C6" s="53"/>
      <c r="D6" s="53"/>
      <c r="E6" s="53"/>
      <c r="F6" s="53"/>
      <c r="H6" s="54" t="s">
        <v>0</v>
      </c>
    </row>
    <row r="7" spans="1:11" s="55" customFormat="1" ht="15.95" customHeight="1" x14ac:dyDescent="0.25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149</v>
      </c>
      <c r="H7" s="1371" t="s">
        <v>151</v>
      </c>
      <c r="I7" s="46"/>
      <c r="K7" s="46"/>
    </row>
    <row r="8" spans="1:11" s="55" customFormat="1" ht="30.75" thickBot="1" x14ac:dyDescent="0.3">
      <c r="A8" s="1367"/>
      <c r="B8" s="1216" t="s">
        <v>169</v>
      </c>
      <c r="C8" s="1225" t="s">
        <v>170</v>
      </c>
      <c r="D8" s="1216" t="s">
        <v>169</v>
      </c>
      <c r="E8" s="1217" t="s">
        <v>470</v>
      </c>
      <c r="F8" s="1218" t="s">
        <v>471</v>
      </c>
      <c r="G8" s="1370"/>
      <c r="H8" s="1372"/>
      <c r="I8" s="46"/>
      <c r="K8" s="46"/>
    </row>
    <row r="9" spans="1:11" s="55" customFormat="1" ht="20.25" customHeight="1" x14ac:dyDescent="0.25">
      <c r="A9" s="1416" t="s">
        <v>2</v>
      </c>
      <c r="B9" s="1417"/>
      <c r="C9" s="1417"/>
      <c r="D9" s="1417"/>
      <c r="E9" s="1417"/>
      <c r="F9" s="1417"/>
      <c r="G9" s="1417"/>
      <c r="H9" s="1418"/>
      <c r="I9" s="46"/>
      <c r="K9" s="46"/>
    </row>
    <row r="10" spans="1:11" s="55" customFormat="1" ht="15.95" customHeight="1" x14ac:dyDescent="0.25">
      <c r="A10" s="1075" t="s">
        <v>3</v>
      </c>
      <c r="B10" s="1076">
        <v>8900000</v>
      </c>
      <c r="C10" s="1077">
        <v>9766306.7899999991</v>
      </c>
      <c r="D10" s="1076">
        <v>9800000</v>
      </c>
      <c r="E10" s="1078">
        <v>10217991.83</v>
      </c>
      <c r="F10" s="1077">
        <v>7743874</v>
      </c>
      <c r="G10" s="262">
        <v>10400000</v>
      </c>
      <c r="H10" s="1083">
        <f>G10/D10*100</f>
        <v>106.12244897959184</v>
      </c>
      <c r="I10" s="46"/>
      <c r="K10" s="46"/>
    </row>
    <row r="11" spans="1:11" s="55" customFormat="1" ht="15.95" customHeight="1" x14ac:dyDescent="0.25">
      <c r="A11" s="1075" t="s">
        <v>66</v>
      </c>
      <c r="B11" s="1076">
        <v>2500</v>
      </c>
      <c r="C11" s="1077">
        <v>2907.86</v>
      </c>
      <c r="D11" s="1076">
        <v>2500</v>
      </c>
      <c r="E11" s="1078">
        <v>2500</v>
      </c>
      <c r="F11" s="1077">
        <v>2055.2800000000002</v>
      </c>
      <c r="G11" s="262">
        <v>2500</v>
      </c>
      <c r="H11" s="1083">
        <f t="shared" ref="H11:H63" si="0">G11/D11*100</f>
        <v>100</v>
      </c>
      <c r="I11" s="46"/>
      <c r="J11" s="45"/>
      <c r="K11" s="46"/>
    </row>
    <row r="12" spans="1:11" s="55" customFormat="1" ht="15.95" customHeight="1" x14ac:dyDescent="0.25">
      <c r="A12" s="1075" t="s">
        <v>105</v>
      </c>
      <c r="B12" s="1076">
        <v>0</v>
      </c>
      <c r="C12" s="1077">
        <v>14638.6</v>
      </c>
      <c r="D12" s="1076">
        <v>10000</v>
      </c>
      <c r="E12" s="1078">
        <v>10000</v>
      </c>
      <c r="F12" s="1077">
        <v>18430.830000000002</v>
      </c>
      <c r="G12" s="262">
        <v>15000</v>
      </c>
      <c r="H12" s="1083">
        <f t="shared" si="0"/>
        <v>150</v>
      </c>
      <c r="I12" s="46"/>
      <c r="K12" s="46"/>
    </row>
    <row r="13" spans="1:11" s="55" customFormat="1" ht="15.95" customHeight="1" x14ac:dyDescent="0.25">
      <c r="A13" s="1075" t="s">
        <v>4</v>
      </c>
      <c r="B13" s="1076">
        <v>3000</v>
      </c>
      <c r="C13" s="1077">
        <v>9033.5499999999993</v>
      </c>
      <c r="D13" s="1076">
        <v>4500</v>
      </c>
      <c r="E13" s="1078">
        <v>5093.47</v>
      </c>
      <c r="F13" s="1077">
        <v>20989.49</v>
      </c>
      <c r="G13" s="262">
        <v>20000</v>
      </c>
      <c r="H13" s="1083">
        <f t="shared" si="0"/>
        <v>444.44444444444446</v>
      </c>
      <c r="I13" s="46"/>
      <c r="K13" s="46"/>
    </row>
    <row r="14" spans="1:11" s="55" customFormat="1" ht="15.95" customHeight="1" x14ac:dyDescent="0.25">
      <c r="A14" s="1075" t="s">
        <v>5</v>
      </c>
      <c r="B14" s="1076">
        <v>53080</v>
      </c>
      <c r="C14" s="1077">
        <v>47709.69</v>
      </c>
      <c r="D14" s="1076">
        <v>66517</v>
      </c>
      <c r="E14" s="1078">
        <v>66497.73</v>
      </c>
      <c r="F14" s="1077">
        <v>39118.57</v>
      </c>
      <c r="G14" s="262">
        <v>66058</v>
      </c>
      <c r="H14" s="1083">
        <f t="shared" si="0"/>
        <v>99.309950839634979</v>
      </c>
      <c r="I14" s="56"/>
      <c r="K14" s="1066"/>
    </row>
    <row r="15" spans="1:11" s="55" customFormat="1" ht="15.95" customHeight="1" x14ac:dyDescent="0.25">
      <c r="A15" s="1075" t="s">
        <v>410</v>
      </c>
      <c r="B15" s="1076">
        <v>300000</v>
      </c>
      <c r="C15" s="1077">
        <v>104946.72</v>
      </c>
      <c r="D15" s="1076">
        <v>1250000</v>
      </c>
      <c r="E15" s="1078">
        <v>913103.12</v>
      </c>
      <c r="F15" s="1077">
        <v>116359.56</v>
      </c>
      <c r="G15" s="262">
        <v>1650000</v>
      </c>
      <c r="H15" s="1083">
        <f t="shared" si="0"/>
        <v>132</v>
      </c>
      <c r="I15" s="46"/>
      <c r="K15" s="46"/>
    </row>
    <row r="16" spans="1:11" s="55" customFormat="1" ht="30" customHeight="1" x14ac:dyDescent="0.25">
      <c r="A16" s="1075" t="s">
        <v>411</v>
      </c>
      <c r="B16" s="1076">
        <v>0</v>
      </c>
      <c r="C16" s="1077">
        <v>0</v>
      </c>
      <c r="D16" s="1076">
        <v>0</v>
      </c>
      <c r="E16" s="1078">
        <v>0</v>
      </c>
      <c r="F16" s="1077">
        <v>0</v>
      </c>
      <c r="G16" s="262">
        <v>50000</v>
      </c>
      <c r="H16" s="1083" t="s">
        <v>71</v>
      </c>
      <c r="I16" s="46"/>
      <c r="K16" s="46"/>
    </row>
    <row r="17" spans="1:11" s="55" customFormat="1" ht="15.95" customHeight="1" x14ac:dyDescent="0.25">
      <c r="A17" s="1075" t="s">
        <v>118</v>
      </c>
      <c r="B17" s="1076">
        <v>50000</v>
      </c>
      <c r="C17" s="1077">
        <v>81632.62</v>
      </c>
      <c r="D17" s="1076">
        <v>40000</v>
      </c>
      <c r="E17" s="1078">
        <v>40000</v>
      </c>
      <c r="F17" s="1077">
        <v>246.89</v>
      </c>
      <c r="G17" s="262">
        <v>42610</v>
      </c>
      <c r="H17" s="1083">
        <f t="shared" si="0"/>
        <v>106.52500000000001</v>
      </c>
      <c r="I17" s="56"/>
      <c r="K17" s="56"/>
    </row>
    <row r="18" spans="1:11" s="55" customFormat="1" ht="15.95" customHeight="1" x14ac:dyDescent="0.25">
      <c r="A18" s="1075" t="s">
        <v>74</v>
      </c>
      <c r="B18" s="1076">
        <v>0</v>
      </c>
      <c r="C18" s="1077">
        <v>155024.13999999998</v>
      </c>
      <c r="D18" s="1076">
        <v>0</v>
      </c>
      <c r="E18" s="1078">
        <v>67234.069999999992</v>
      </c>
      <c r="F18" s="1077">
        <v>134056.40000000002</v>
      </c>
      <c r="G18" s="262">
        <v>0</v>
      </c>
      <c r="H18" s="1083" t="s">
        <v>71</v>
      </c>
      <c r="I18" s="46"/>
      <c r="K18" s="46"/>
    </row>
    <row r="19" spans="1:11" s="55" customFormat="1" ht="15.95" customHeight="1" x14ac:dyDescent="0.25">
      <c r="A19" s="1075" t="s">
        <v>6</v>
      </c>
      <c r="B19" s="1076">
        <v>10000</v>
      </c>
      <c r="C19" s="1077">
        <v>17533.37</v>
      </c>
      <c r="D19" s="1076">
        <v>12000</v>
      </c>
      <c r="E19" s="1078">
        <v>12000</v>
      </c>
      <c r="F19" s="1077">
        <v>36550.5</v>
      </c>
      <c r="G19" s="262">
        <v>12000</v>
      </c>
      <c r="H19" s="1083">
        <f t="shared" si="0"/>
        <v>100</v>
      </c>
      <c r="I19" s="46"/>
      <c r="J19" s="45"/>
      <c r="K19" s="46"/>
    </row>
    <row r="20" spans="1:11" s="55" customFormat="1" ht="30" customHeight="1" x14ac:dyDescent="0.25">
      <c r="A20" s="1075" t="s">
        <v>7</v>
      </c>
      <c r="B20" s="1076">
        <v>129621.8</v>
      </c>
      <c r="C20" s="1077">
        <v>129621.8</v>
      </c>
      <c r="D20" s="1076">
        <v>142583.9</v>
      </c>
      <c r="E20" s="1078">
        <v>142583.9</v>
      </c>
      <c r="F20" s="1077">
        <v>106937.93</v>
      </c>
      <c r="G20" s="262">
        <v>165408.9</v>
      </c>
      <c r="H20" s="1083">
        <f t="shared" si="0"/>
        <v>116.00811872869237</v>
      </c>
      <c r="I20" s="46"/>
      <c r="K20" s="46"/>
    </row>
    <row r="21" spans="1:11" s="58" customFormat="1" ht="15.95" customHeight="1" x14ac:dyDescent="0.2">
      <c r="A21" s="1075" t="s">
        <v>8</v>
      </c>
      <c r="B21" s="1076">
        <v>13900000</v>
      </c>
      <c r="C21" s="1077">
        <v>14607187.18</v>
      </c>
      <c r="D21" s="1076">
        <v>16000000</v>
      </c>
      <c r="E21" s="1078">
        <v>17234362.98</v>
      </c>
      <c r="F21" s="1077">
        <v>14505833.109999999</v>
      </c>
      <c r="G21" s="262">
        <v>18900000</v>
      </c>
      <c r="H21" s="1083">
        <f t="shared" si="0"/>
        <v>118.12499999999999</v>
      </c>
      <c r="I21" s="1067"/>
      <c r="J21" s="57"/>
      <c r="K21" s="1067"/>
    </row>
    <row r="22" spans="1:11" s="58" customFormat="1" ht="15.95" customHeight="1" x14ac:dyDescent="0.2">
      <c r="A22" s="1075" t="s">
        <v>72</v>
      </c>
      <c r="B22" s="1076">
        <v>0</v>
      </c>
      <c r="C22" s="1077">
        <f>17776830.19-129621.8-14607187.18</f>
        <v>3040021.2100000009</v>
      </c>
      <c r="D22" s="1076">
        <v>0</v>
      </c>
      <c r="E22" s="1078">
        <v>3880912.16</v>
      </c>
      <c r="F22" s="1077">
        <v>3900296.46</v>
      </c>
      <c r="G22" s="262">
        <v>0</v>
      </c>
      <c r="H22" s="1083" t="s">
        <v>71</v>
      </c>
      <c r="I22" s="1067"/>
      <c r="K22" s="1067"/>
    </row>
    <row r="23" spans="1:11" s="58" customFormat="1" ht="15.95" customHeight="1" thickBot="1" x14ac:dyDescent="0.25">
      <c r="A23" s="1084" t="s">
        <v>73</v>
      </c>
      <c r="B23" s="1085">
        <v>0</v>
      </c>
      <c r="C23" s="1086">
        <v>952.33</v>
      </c>
      <c r="D23" s="1085">
        <v>0</v>
      </c>
      <c r="E23" s="1087">
        <v>748.96</v>
      </c>
      <c r="F23" s="1086">
        <v>748.96</v>
      </c>
      <c r="G23" s="263">
        <v>0</v>
      </c>
      <c r="H23" s="1092" t="s">
        <v>71</v>
      </c>
      <c r="I23" s="1067"/>
      <c r="K23" s="1067"/>
    </row>
    <row r="24" spans="1:11" s="59" customFormat="1" ht="20.25" customHeight="1" thickBot="1" x14ac:dyDescent="0.3">
      <c r="A24" s="1088" t="s">
        <v>9</v>
      </c>
      <c r="B24" s="1089">
        <f t="shared" ref="B24" si="1">SUM(B10:B23)</f>
        <v>23348201.800000001</v>
      </c>
      <c r="C24" s="1090">
        <f t="shared" ref="C24:G24" si="2">SUM(C10:C23)</f>
        <v>27977515.859999999</v>
      </c>
      <c r="D24" s="1089">
        <f t="shared" si="2"/>
        <v>27328100.899999999</v>
      </c>
      <c r="E24" s="1091">
        <f t="shared" si="2"/>
        <v>32593028.220000003</v>
      </c>
      <c r="F24" s="1090">
        <f t="shared" si="2"/>
        <v>26625497.98</v>
      </c>
      <c r="G24" s="729">
        <f t="shared" si="2"/>
        <v>31323576.899999999</v>
      </c>
      <c r="H24" s="1093">
        <f t="shared" si="0"/>
        <v>114.62039391108951</v>
      </c>
      <c r="I24" s="46"/>
      <c r="K24" s="46"/>
    </row>
    <row r="25" spans="1:11" s="55" customFormat="1" ht="6" customHeight="1" thickBot="1" x14ac:dyDescent="0.3">
      <c r="A25" s="930"/>
      <c r="B25" s="931"/>
      <c r="C25" s="931"/>
      <c r="D25" s="931"/>
      <c r="E25" s="931"/>
      <c r="F25" s="931"/>
      <c r="G25" s="931"/>
      <c r="H25" s="932"/>
      <c r="I25" s="46"/>
      <c r="K25" s="46"/>
    </row>
    <row r="26" spans="1:11" s="55" customFormat="1" ht="20.25" customHeight="1" x14ac:dyDescent="0.25">
      <c r="A26" s="1416" t="s">
        <v>10</v>
      </c>
      <c r="B26" s="1417"/>
      <c r="C26" s="1417"/>
      <c r="D26" s="1417"/>
      <c r="E26" s="1417"/>
      <c r="F26" s="1417"/>
      <c r="G26" s="1417"/>
      <c r="H26" s="1418"/>
      <c r="I26" s="46"/>
      <c r="K26" s="46"/>
    </row>
    <row r="27" spans="1:11" s="58" customFormat="1" ht="15.95" customHeight="1" x14ac:dyDescent="0.2">
      <c r="A27" s="1075" t="s">
        <v>127</v>
      </c>
      <c r="B27" s="1076">
        <v>0</v>
      </c>
      <c r="C27" s="1077">
        <v>1092780.3600000001</v>
      </c>
      <c r="D27" s="1076">
        <v>0</v>
      </c>
      <c r="E27" s="1078">
        <v>2470274.1</v>
      </c>
      <c r="F27" s="1078">
        <v>-1408585.25</v>
      </c>
      <c r="G27" s="262">
        <v>0</v>
      </c>
      <c r="H27" s="1083" t="s">
        <v>71</v>
      </c>
      <c r="I27" s="1067"/>
      <c r="K27" s="1067"/>
    </row>
    <row r="28" spans="1:11" s="58" customFormat="1" ht="28.5" customHeight="1" x14ac:dyDescent="0.2">
      <c r="A28" s="1075" t="s">
        <v>69</v>
      </c>
      <c r="B28" s="1076">
        <v>10000</v>
      </c>
      <c r="C28" s="1077">
        <v>10000</v>
      </c>
      <c r="D28" s="1076">
        <v>10000</v>
      </c>
      <c r="E28" s="1078">
        <v>10000</v>
      </c>
      <c r="F28" s="1077">
        <v>10000</v>
      </c>
      <c r="G28" s="262">
        <v>0</v>
      </c>
      <c r="H28" s="1083">
        <f t="shared" si="0"/>
        <v>0</v>
      </c>
      <c r="I28" s="1067"/>
      <c r="K28" s="1067"/>
    </row>
    <row r="29" spans="1:11" s="58" customFormat="1" ht="15.95" customHeight="1" x14ac:dyDescent="0.2">
      <c r="A29" s="1075" t="s">
        <v>391</v>
      </c>
      <c r="B29" s="1076">
        <v>0</v>
      </c>
      <c r="C29" s="1077">
        <v>0</v>
      </c>
      <c r="D29" s="1076">
        <v>0</v>
      </c>
      <c r="E29" s="1078">
        <v>612100</v>
      </c>
      <c r="F29" s="1077">
        <v>0</v>
      </c>
      <c r="G29" s="262">
        <v>700000</v>
      </c>
      <c r="H29" s="1083" t="s">
        <v>71</v>
      </c>
      <c r="I29" s="1067"/>
      <c r="K29" s="1067"/>
    </row>
    <row r="30" spans="1:11" s="58" customFormat="1" ht="15.95" customHeight="1" thickBot="1" x14ac:dyDescent="0.25">
      <c r="A30" s="1079" t="s">
        <v>393</v>
      </c>
      <c r="B30" s="1080">
        <v>0</v>
      </c>
      <c r="C30" s="1081">
        <v>3910.2</v>
      </c>
      <c r="D30" s="1080">
        <v>0</v>
      </c>
      <c r="E30" s="1082">
        <v>0</v>
      </c>
      <c r="F30" s="1081">
        <v>0</v>
      </c>
      <c r="G30" s="933">
        <v>0</v>
      </c>
      <c r="H30" s="1074" t="s">
        <v>71</v>
      </c>
      <c r="I30" s="1067"/>
      <c r="K30" s="1067"/>
    </row>
    <row r="31" spans="1:11" s="60" customFormat="1" ht="20.25" customHeight="1" thickBot="1" x14ac:dyDescent="0.3">
      <c r="A31" s="1048" t="s">
        <v>11</v>
      </c>
      <c r="B31" s="1049">
        <f t="shared" ref="B31:F31" si="3">SUM(B24:B30)</f>
        <v>23358201.800000001</v>
      </c>
      <c r="C31" s="1050">
        <f t="shared" si="3"/>
        <v>29084206.419999998</v>
      </c>
      <c r="D31" s="1049">
        <f t="shared" si="3"/>
        <v>27338100.899999999</v>
      </c>
      <c r="E31" s="1051">
        <f t="shared" si="3"/>
        <v>35685402.32</v>
      </c>
      <c r="F31" s="1050">
        <f t="shared" si="3"/>
        <v>25226912.73</v>
      </c>
      <c r="G31" s="730">
        <f>SUM(G24:G30)</f>
        <v>32023576.899999999</v>
      </c>
      <c r="H31" s="1052">
        <f t="shared" si="0"/>
        <v>117.13899592784077</v>
      </c>
      <c r="I31" s="46"/>
      <c r="K31" s="46"/>
    </row>
    <row r="32" spans="1:11" s="55" customFormat="1" ht="6" customHeight="1" thickBot="1" x14ac:dyDescent="0.3">
      <c r="A32" s="930"/>
      <c r="B32" s="931"/>
      <c r="C32" s="931"/>
      <c r="D32" s="931"/>
      <c r="E32" s="931"/>
      <c r="F32" s="931"/>
      <c r="G32" s="931"/>
      <c r="H32" s="932"/>
      <c r="I32" s="46"/>
      <c r="K32" s="46"/>
    </row>
    <row r="33" spans="1:11" s="55" customFormat="1" ht="20.25" customHeight="1" x14ac:dyDescent="0.25">
      <c r="A33" s="1413" t="s">
        <v>12</v>
      </c>
      <c r="B33" s="1414"/>
      <c r="C33" s="1414"/>
      <c r="D33" s="1414"/>
      <c r="E33" s="1414"/>
      <c r="F33" s="1414"/>
      <c r="G33" s="1414"/>
      <c r="H33" s="1415"/>
      <c r="I33" s="46"/>
      <c r="K33" s="46"/>
    </row>
    <row r="34" spans="1:11" ht="15.95" customHeight="1" x14ac:dyDescent="0.25">
      <c r="A34" s="1107" t="s">
        <v>13</v>
      </c>
      <c r="B34" s="1108">
        <f>'Běžné výdaje kapitol'!B30</f>
        <v>7086382</v>
      </c>
      <c r="C34" s="1109">
        <v>7459666.1600000001</v>
      </c>
      <c r="D34" s="1108">
        <v>7395037</v>
      </c>
      <c r="E34" s="1110">
        <v>8114902.2400000002</v>
      </c>
      <c r="F34" s="1109">
        <v>5381284.3399999999</v>
      </c>
      <c r="G34" s="262">
        <v>8014793</v>
      </c>
      <c r="H34" s="1119">
        <f t="shared" si="0"/>
        <v>108.38070181393277</v>
      </c>
    </row>
    <row r="35" spans="1:11" ht="15.95" customHeight="1" x14ac:dyDescent="0.25">
      <c r="A35" s="1107" t="s">
        <v>59</v>
      </c>
      <c r="B35" s="1108">
        <v>410000</v>
      </c>
      <c r="C35" s="1109">
        <v>380912.16</v>
      </c>
      <c r="D35" s="1108">
        <v>484000</v>
      </c>
      <c r="E35" s="1110">
        <v>915671.97</v>
      </c>
      <c r="F35" s="1109">
        <v>280203.3</v>
      </c>
      <c r="G35" s="262">
        <v>490000</v>
      </c>
      <c r="H35" s="1119">
        <f t="shared" si="0"/>
        <v>101.2396694214876</v>
      </c>
    </row>
    <row r="36" spans="1:11" ht="63" customHeight="1" x14ac:dyDescent="0.25">
      <c r="A36" s="1107" t="s">
        <v>119</v>
      </c>
      <c r="B36" s="1108">
        <v>50000</v>
      </c>
      <c r="C36" s="1109">
        <v>62190.22</v>
      </c>
      <c r="D36" s="1108">
        <v>40000</v>
      </c>
      <c r="E36" s="1110">
        <v>63934.55</v>
      </c>
      <c r="F36" s="1109">
        <v>21684.55</v>
      </c>
      <c r="G36" s="262">
        <v>42610</v>
      </c>
      <c r="H36" s="1119">
        <f t="shared" si="0"/>
        <v>106.52500000000001</v>
      </c>
    </row>
    <row r="37" spans="1:11" ht="15.95" customHeight="1" x14ac:dyDescent="0.25">
      <c r="A37" s="1107" t="s">
        <v>60</v>
      </c>
      <c r="B37" s="1108">
        <v>10000</v>
      </c>
      <c r="C37" s="1109">
        <v>18651.28</v>
      </c>
      <c r="D37" s="1108">
        <v>10000</v>
      </c>
      <c r="E37" s="1110">
        <v>23377.15</v>
      </c>
      <c r="F37" s="1109">
        <v>13783.99</v>
      </c>
      <c r="G37" s="262">
        <v>0</v>
      </c>
      <c r="H37" s="1119">
        <f t="shared" si="0"/>
        <v>0</v>
      </c>
    </row>
    <row r="38" spans="1:11" ht="15.95" customHeight="1" x14ac:dyDescent="0.25">
      <c r="A38" s="1107" t="s">
        <v>489</v>
      </c>
      <c r="B38" s="1108">
        <v>20000</v>
      </c>
      <c r="C38" s="1109">
        <v>10368.61</v>
      </c>
      <c r="D38" s="1108">
        <v>20000</v>
      </c>
      <c r="E38" s="1110">
        <v>26580</v>
      </c>
      <c r="F38" s="1109">
        <v>1440.46</v>
      </c>
      <c r="G38" s="262">
        <v>20000</v>
      </c>
      <c r="H38" s="1119">
        <f t="shared" si="0"/>
        <v>100</v>
      </c>
    </row>
    <row r="39" spans="1:11" ht="30" customHeight="1" x14ac:dyDescent="0.25">
      <c r="A39" s="1107" t="s">
        <v>490</v>
      </c>
      <c r="B39" s="1108">
        <v>53080</v>
      </c>
      <c r="C39" s="1109">
        <v>102294.09</v>
      </c>
      <c r="D39" s="1108">
        <v>66517</v>
      </c>
      <c r="E39" s="1110">
        <v>74127.67</v>
      </c>
      <c r="F39" s="1109">
        <v>5051.5</v>
      </c>
      <c r="G39" s="262">
        <v>66058</v>
      </c>
      <c r="H39" s="1119">
        <f t="shared" si="0"/>
        <v>99.309950839634979</v>
      </c>
    </row>
    <row r="40" spans="1:11" ht="15" customHeight="1" x14ac:dyDescent="0.25">
      <c r="A40" s="1107" t="s">
        <v>491</v>
      </c>
      <c r="B40" s="1108">
        <v>386000</v>
      </c>
      <c r="C40" s="1109">
        <v>1461035.98</v>
      </c>
      <c r="D40" s="1108">
        <v>450000</v>
      </c>
      <c r="E40" s="1110">
        <v>1733781.67</v>
      </c>
      <c r="F40" s="1109">
        <v>543105.81000000006</v>
      </c>
      <c r="G40" s="262">
        <v>700000</v>
      </c>
      <c r="H40" s="1119">
        <f t="shared" si="0"/>
        <v>155.55555555555557</v>
      </c>
      <c r="I40" s="56"/>
      <c r="K40" s="56"/>
    </row>
    <row r="41" spans="1:11" ht="30" customHeight="1" x14ac:dyDescent="0.25">
      <c r="A41" s="1107" t="s">
        <v>492</v>
      </c>
      <c r="B41" s="1108">
        <v>550000</v>
      </c>
      <c r="C41" s="1109">
        <v>1590375.09</v>
      </c>
      <c r="D41" s="1108">
        <v>1750000</v>
      </c>
      <c r="E41" s="1110">
        <v>2570891.6</v>
      </c>
      <c r="F41" s="1109">
        <v>986856.17</v>
      </c>
      <c r="G41" s="262">
        <v>2600000</v>
      </c>
      <c r="H41" s="1119">
        <f t="shared" si="0"/>
        <v>148.57142857142858</v>
      </c>
    </row>
    <row r="42" spans="1:11" ht="29.85" customHeight="1" x14ac:dyDescent="0.25">
      <c r="A42" s="1107" t="s">
        <v>493</v>
      </c>
      <c r="B42" s="1108">
        <v>50000</v>
      </c>
      <c r="C42" s="1109">
        <v>115022.47</v>
      </c>
      <c r="D42" s="1108">
        <v>50000</v>
      </c>
      <c r="E42" s="1110">
        <v>163478.82999999999</v>
      </c>
      <c r="F42" s="1109">
        <v>21513.38</v>
      </c>
      <c r="G42" s="262">
        <v>100000</v>
      </c>
      <c r="H42" s="1119">
        <f t="shared" si="0"/>
        <v>200</v>
      </c>
    </row>
    <row r="43" spans="1:11" ht="15.95" customHeight="1" x14ac:dyDescent="0.25">
      <c r="A43" s="1107" t="s">
        <v>494</v>
      </c>
      <c r="B43" s="1108">
        <v>23350.799999999999</v>
      </c>
      <c r="C43" s="1109">
        <v>0</v>
      </c>
      <c r="D43" s="1108">
        <v>25148.9</v>
      </c>
      <c r="E43" s="1110">
        <v>25148.9</v>
      </c>
      <c r="F43" s="1109">
        <v>0</v>
      </c>
      <c r="G43" s="262">
        <v>20559.900000000001</v>
      </c>
      <c r="H43" s="1119">
        <f t="shared" si="0"/>
        <v>81.752681031774756</v>
      </c>
    </row>
    <row r="44" spans="1:11" ht="15.95" customHeight="1" x14ac:dyDescent="0.25">
      <c r="A44" s="1107" t="s">
        <v>495</v>
      </c>
      <c r="B44" s="1108">
        <v>5000</v>
      </c>
      <c r="C44" s="1109">
        <v>0</v>
      </c>
      <c r="D44" s="1108">
        <v>10000</v>
      </c>
      <c r="E44" s="1110">
        <v>2391.36</v>
      </c>
      <c r="F44" s="1109">
        <v>0</v>
      </c>
      <c r="G44" s="262">
        <v>10000</v>
      </c>
      <c r="H44" s="1119">
        <f t="shared" si="0"/>
        <v>100</v>
      </c>
    </row>
    <row r="45" spans="1:11" ht="15.95" customHeight="1" x14ac:dyDescent="0.25">
      <c r="A45" s="1107" t="s">
        <v>496</v>
      </c>
      <c r="B45" s="1108">
        <v>0</v>
      </c>
      <c r="C45" s="1109">
        <v>0</v>
      </c>
      <c r="D45" s="1108">
        <v>0</v>
      </c>
      <c r="E45" s="1110">
        <v>3679.25</v>
      </c>
      <c r="F45" s="1109">
        <v>0</v>
      </c>
      <c r="G45" s="262">
        <v>0</v>
      </c>
      <c r="H45" s="1119" t="s">
        <v>71</v>
      </c>
    </row>
    <row r="46" spans="1:11" ht="15.95" customHeight="1" x14ac:dyDescent="0.25">
      <c r="A46" s="1107" t="s">
        <v>497</v>
      </c>
      <c r="B46" s="1108">
        <v>200000</v>
      </c>
      <c r="C46" s="1109">
        <v>0</v>
      </c>
      <c r="D46" s="1108">
        <v>100000</v>
      </c>
      <c r="E46" s="1110">
        <v>50000</v>
      </c>
      <c r="F46" s="1109">
        <v>0</v>
      </c>
      <c r="G46" s="262">
        <v>0</v>
      </c>
      <c r="H46" s="1119">
        <f t="shared" si="0"/>
        <v>0</v>
      </c>
    </row>
    <row r="47" spans="1:11" ht="15" customHeight="1" x14ac:dyDescent="0.25">
      <c r="A47" s="1107" t="s">
        <v>498</v>
      </c>
      <c r="B47" s="1108">
        <v>11000</v>
      </c>
      <c r="C47" s="1109">
        <v>0</v>
      </c>
      <c r="D47" s="1108">
        <v>12850</v>
      </c>
      <c r="E47" s="1110">
        <v>0</v>
      </c>
      <c r="F47" s="1109">
        <v>0</v>
      </c>
      <c r="G47" s="262">
        <v>22600</v>
      </c>
      <c r="H47" s="1119">
        <f t="shared" si="0"/>
        <v>175.87548638132296</v>
      </c>
      <c r="I47" s="1068"/>
      <c r="K47" s="1068"/>
    </row>
    <row r="48" spans="1:11" ht="15.95" customHeight="1" x14ac:dyDescent="0.25">
      <c r="A48" s="1107" t="s">
        <v>499</v>
      </c>
      <c r="B48" s="1108">
        <v>0</v>
      </c>
      <c r="C48" s="1109">
        <v>0</v>
      </c>
      <c r="D48" s="1108">
        <v>395940</v>
      </c>
      <c r="E48" s="1110">
        <v>213314.99</v>
      </c>
      <c r="F48" s="1109">
        <v>0</v>
      </c>
      <c r="G48" s="262">
        <v>520000</v>
      </c>
      <c r="H48" s="1119">
        <f t="shared" si="0"/>
        <v>131.33303025710967</v>
      </c>
    </row>
    <row r="49" spans="1:11" ht="15.95" customHeight="1" x14ac:dyDescent="0.25">
      <c r="A49" s="1107" t="s">
        <v>61</v>
      </c>
      <c r="B49" s="1108">
        <v>5165</v>
      </c>
      <c r="C49" s="1109">
        <v>0</v>
      </c>
      <c r="D49" s="1108">
        <v>0</v>
      </c>
      <c r="E49" s="1110">
        <v>5165</v>
      </c>
      <c r="F49" s="1109">
        <v>0</v>
      </c>
      <c r="G49" s="262">
        <v>0</v>
      </c>
      <c r="H49" s="1119" t="s">
        <v>71</v>
      </c>
    </row>
    <row r="50" spans="1:11" ht="30" customHeight="1" x14ac:dyDescent="0.25">
      <c r="A50" s="1107" t="s">
        <v>500</v>
      </c>
      <c r="B50" s="1108">
        <v>130500</v>
      </c>
      <c r="C50" s="1109">
        <v>40500</v>
      </c>
      <c r="D50" s="1108">
        <v>36450</v>
      </c>
      <c r="E50" s="1110">
        <v>36750</v>
      </c>
      <c r="F50" s="1109">
        <v>36300</v>
      </c>
      <c r="G50" s="262">
        <v>0</v>
      </c>
      <c r="H50" s="1119">
        <f t="shared" si="0"/>
        <v>0</v>
      </c>
    </row>
    <row r="51" spans="1:11" ht="30" customHeight="1" x14ac:dyDescent="0.25">
      <c r="A51" s="1107" t="s">
        <v>502</v>
      </c>
      <c r="B51" s="1108">
        <v>36418</v>
      </c>
      <c r="C51" s="1109">
        <v>23155.200000000001</v>
      </c>
      <c r="D51" s="1108">
        <v>61000</v>
      </c>
      <c r="E51" s="1110">
        <v>49205</v>
      </c>
      <c r="F51" s="1109">
        <v>32198.21</v>
      </c>
      <c r="G51" s="262">
        <v>54000</v>
      </c>
      <c r="H51" s="1119">
        <f t="shared" si="0"/>
        <v>88.52459016393442</v>
      </c>
    </row>
    <row r="52" spans="1:11" ht="30" customHeight="1" x14ac:dyDescent="0.25">
      <c r="A52" s="1107" t="s">
        <v>501</v>
      </c>
      <c r="B52" s="1108">
        <v>0</v>
      </c>
      <c r="C52" s="1109">
        <v>0</v>
      </c>
      <c r="D52" s="1108">
        <v>0</v>
      </c>
      <c r="E52" s="1110">
        <v>0</v>
      </c>
      <c r="F52" s="1109">
        <v>0</v>
      </c>
      <c r="G52" s="262">
        <v>32000</v>
      </c>
      <c r="H52" s="1119" t="s">
        <v>71</v>
      </c>
    </row>
    <row r="53" spans="1:11" ht="15.95" customHeight="1" x14ac:dyDescent="0.25">
      <c r="A53" s="1107" t="s">
        <v>62</v>
      </c>
      <c r="B53" s="1108">
        <v>191819</v>
      </c>
      <c r="C53" s="1109">
        <v>185532.43</v>
      </c>
      <c r="D53" s="1108">
        <v>191671</v>
      </c>
      <c r="E53" s="1110">
        <v>191671</v>
      </c>
      <c r="F53" s="1109">
        <v>139610.15</v>
      </c>
      <c r="G53" s="262">
        <v>191469</v>
      </c>
      <c r="H53" s="1119">
        <f t="shared" si="0"/>
        <v>99.894611078358224</v>
      </c>
    </row>
    <row r="54" spans="1:11" ht="15.95" customHeight="1" x14ac:dyDescent="0.25">
      <c r="A54" s="1107" t="s">
        <v>63</v>
      </c>
      <c r="B54" s="1108">
        <v>13900000</v>
      </c>
      <c r="C54" s="1109">
        <v>17249971.25</v>
      </c>
      <c r="D54" s="1108">
        <v>16000000</v>
      </c>
      <c r="E54" s="1110">
        <v>17252140.34</v>
      </c>
      <c r="F54" s="1109">
        <v>14312560.710000001</v>
      </c>
      <c r="G54" s="262">
        <v>18900000</v>
      </c>
      <c r="H54" s="1119">
        <f t="shared" si="0"/>
        <v>118.12499999999999</v>
      </c>
    </row>
    <row r="55" spans="1:11" ht="15.95" customHeight="1" x14ac:dyDescent="0.25">
      <c r="A55" s="1107" t="s">
        <v>75</v>
      </c>
      <c r="B55" s="1108">
        <v>0</v>
      </c>
      <c r="C55" s="1109">
        <v>0</v>
      </c>
      <c r="D55" s="1108">
        <v>0</v>
      </c>
      <c r="E55" s="1110">
        <f>21135723.85-E54</f>
        <v>3883583.5100000016</v>
      </c>
      <c r="F55" s="1109">
        <f>17490711.36-F54</f>
        <v>3178150.6499999985</v>
      </c>
      <c r="G55" s="262">
        <v>0</v>
      </c>
      <c r="H55" s="1119" t="s">
        <v>71</v>
      </c>
    </row>
    <row r="56" spans="1:11" ht="15.95" customHeight="1" thickBot="1" x14ac:dyDescent="0.3">
      <c r="A56" s="1111" t="s">
        <v>76</v>
      </c>
      <c r="B56" s="1112">
        <v>0</v>
      </c>
      <c r="C56" s="1113">
        <v>45044.66</v>
      </c>
      <c r="D56" s="1112">
        <v>0</v>
      </c>
      <c r="E56" s="1114">
        <v>46120.29</v>
      </c>
      <c r="F56" s="1113">
        <v>46120.29</v>
      </c>
      <c r="G56" s="263">
        <v>0</v>
      </c>
      <c r="H56" s="1120" t="s">
        <v>71</v>
      </c>
    </row>
    <row r="57" spans="1:11" s="59" customFormat="1" ht="20.25" customHeight="1" thickBot="1" x14ac:dyDescent="0.3">
      <c r="A57" s="1115" t="s">
        <v>14</v>
      </c>
      <c r="B57" s="1116">
        <f t="shared" ref="B57:G57" si="4">SUM(B34:B56)</f>
        <v>23118714.800000001</v>
      </c>
      <c r="C57" s="1117">
        <f t="shared" si="4"/>
        <v>28744719.599999998</v>
      </c>
      <c r="D57" s="1116">
        <f t="shared" si="4"/>
        <v>27098613.899999999</v>
      </c>
      <c r="E57" s="1118">
        <f t="shared" si="4"/>
        <v>35445915.32</v>
      </c>
      <c r="F57" s="1117">
        <f t="shared" si="4"/>
        <v>24999863.509999998</v>
      </c>
      <c r="G57" s="729">
        <f t="shared" si="4"/>
        <v>31784089.899999999</v>
      </c>
      <c r="H57" s="1121">
        <f t="shared" si="0"/>
        <v>117.29046370154011</v>
      </c>
      <c r="I57" s="46"/>
      <c r="K57" s="46"/>
    </row>
    <row r="58" spans="1:11" s="55" customFormat="1" ht="6" customHeight="1" thickBot="1" x14ac:dyDescent="0.3">
      <c r="A58" s="930"/>
      <c r="B58" s="931"/>
      <c r="C58" s="931"/>
      <c r="D58" s="931"/>
      <c r="E58" s="931"/>
      <c r="F58" s="931"/>
      <c r="G58" s="931"/>
      <c r="H58" s="932"/>
      <c r="I58" s="46"/>
      <c r="K58" s="46"/>
    </row>
    <row r="59" spans="1:11" ht="20.25" customHeight="1" x14ac:dyDescent="0.25">
      <c r="A59" s="1413" t="s">
        <v>15</v>
      </c>
      <c r="B59" s="1414"/>
      <c r="C59" s="1414"/>
      <c r="D59" s="1414"/>
      <c r="E59" s="1414"/>
      <c r="F59" s="1414"/>
      <c r="G59" s="1414"/>
      <c r="H59" s="1415"/>
    </row>
    <row r="60" spans="1:11" ht="15.95" customHeight="1" x14ac:dyDescent="0.25">
      <c r="A60" s="1107" t="s">
        <v>392</v>
      </c>
      <c r="B60" s="1108">
        <v>239487</v>
      </c>
      <c r="C60" s="1109">
        <v>239486.82</v>
      </c>
      <c r="D60" s="1108">
        <v>239487</v>
      </c>
      <c r="E60" s="1110">
        <v>239487</v>
      </c>
      <c r="F60" s="1109">
        <v>179615.11</v>
      </c>
      <c r="G60" s="262">
        <v>239487</v>
      </c>
      <c r="H60" s="1126">
        <f t="shared" si="0"/>
        <v>100</v>
      </c>
    </row>
    <row r="61" spans="1:11" ht="15.95" customHeight="1" x14ac:dyDescent="0.25">
      <c r="A61" s="1111" t="s">
        <v>153</v>
      </c>
      <c r="B61" s="1112">
        <v>0</v>
      </c>
      <c r="C61" s="1113">
        <v>100000</v>
      </c>
      <c r="D61" s="1112">
        <v>0</v>
      </c>
      <c r="E61" s="1114">
        <v>0</v>
      </c>
      <c r="F61" s="1113">
        <v>0</v>
      </c>
      <c r="G61" s="263">
        <v>0</v>
      </c>
      <c r="H61" s="1126" t="s">
        <v>71</v>
      </c>
    </row>
    <row r="62" spans="1:11" ht="15.95" customHeight="1" thickBot="1" x14ac:dyDescent="0.3">
      <c r="A62" s="1111" t="s">
        <v>393</v>
      </c>
      <c r="B62" s="1112">
        <v>0</v>
      </c>
      <c r="C62" s="1113">
        <v>0</v>
      </c>
      <c r="D62" s="1112">
        <v>0</v>
      </c>
      <c r="E62" s="1114">
        <v>0</v>
      </c>
      <c r="F62" s="1113">
        <v>47434.11</v>
      </c>
      <c r="G62" s="263">
        <v>0</v>
      </c>
      <c r="H62" s="1127" t="s">
        <v>71</v>
      </c>
    </row>
    <row r="63" spans="1:11" s="62" customFormat="1" ht="20.25" customHeight="1" thickBot="1" x14ac:dyDescent="0.3">
      <c r="A63" s="1048" t="s">
        <v>14</v>
      </c>
      <c r="B63" s="1049">
        <f t="shared" ref="B63:G63" si="5">SUM(B57:B62)</f>
        <v>23358201.800000001</v>
      </c>
      <c r="C63" s="1050">
        <f t="shared" si="5"/>
        <v>29084206.419999998</v>
      </c>
      <c r="D63" s="1049">
        <f t="shared" si="5"/>
        <v>27338100.899999999</v>
      </c>
      <c r="E63" s="1051">
        <f t="shared" si="5"/>
        <v>35685402.32</v>
      </c>
      <c r="F63" s="1050">
        <f t="shared" si="5"/>
        <v>25226912.729999997</v>
      </c>
      <c r="G63" s="730">
        <f t="shared" si="5"/>
        <v>32023576.899999999</v>
      </c>
      <c r="H63" s="1052">
        <f t="shared" si="0"/>
        <v>117.13899592784077</v>
      </c>
      <c r="I63" s="1069"/>
      <c r="K63" s="1069"/>
    </row>
    <row r="64" spans="1:11" s="55" customFormat="1" ht="6" customHeight="1" thickBot="1" x14ac:dyDescent="0.3">
      <c r="A64" s="930"/>
      <c r="B64" s="931"/>
      <c r="C64" s="931"/>
      <c r="D64" s="931"/>
      <c r="E64" s="931"/>
      <c r="F64" s="931"/>
      <c r="G64" s="931"/>
      <c r="H64" s="932"/>
      <c r="I64" s="46"/>
      <c r="K64" s="46"/>
    </row>
    <row r="65" spans="1:11" s="60" customFormat="1" ht="30" customHeight="1" thickBot="1" x14ac:dyDescent="0.3">
      <c r="A65" s="1048" t="s">
        <v>17</v>
      </c>
      <c r="B65" s="1049">
        <f t="shared" ref="B65:G65" si="6">B31-B63</f>
        <v>0</v>
      </c>
      <c r="C65" s="1050">
        <f t="shared" si="6"/>
        <v>0</v>
      </c>
      <c r="D65" s="1049">
        <f t="shared" si="6"/>
        <v>0</v>
      </c>
      <c r="E65" s="1051">
        <f t="shared" si="6"/>
        <v>0</v>
      </c>
      <c r="F65" s="1050">
        <f t="shared" si="6"/>
        <v>0</v>
      </c>
      <c r="G65" s="730">
        <f t="shared" si="6"/>
        <v>0</v>
      </c>
      <c r="H65" s="1052" t="s">
        <v>71</v>
      </c>
      <c r="I65" s="46"/>
      <c r="K65" s="46"/>
    </row>
    <row r="66" spans="1:11" ht="12.75" customHeight="1" x14ac:dyDescent="0.25">
      <c r="A66" s="67"/>
    </row>
    <row r="67" spans="1:11" ht="12.75" customHeight="1" x14ac:dyDescent="0.25">
      <c r="A67" s="69"/>
      <c r="B67" s="70"/>
      <c r="C67" s="70"/>
      <c r="D67" s="70"/>
      <c r="E67" s="70"/>
      <c r="F67" s="70"/>
    </row>
    <row r="68" spans="1:11" s="71" customFormat="1" ht="16.5" thickBot="1" x14ac:dyDescent="0.3">
      <c r="A68" s="1247" t="s">
        <v>428</v>
      </c>
      <c r="B68" s="43"/>
      <c r="C68" s="43"/>
      <c r="D68" s="43"/>
      <c r="E68" s="43"/>
      <c r="F68" s="43"/>
      <c r="G68" s="43"/>
      <c r="H68" s="68"/>
      <c r="I68" s="46"/>
      <c r="K68" s="46"/>
    </row>
    <row r="69" spans="1:11" s="71" customFormat="1" ht="12.75" customHeight="1" x14ac:dyDescent="0.25">
      <c r="A69" s="1366" t="s">
        <v>1</v>
      </c>
      <c r="B69" s="1421" t="s">
        <v>456</v>
      </c>
      <c r="C69" s="1422"/>
      <c r="D69" s="1421" t="s">
        <v>457</v>
      </c>
      <c r="E69" s="1425"/>
      <c r="F69" s="1422"/>
      <c r="G69" s="1369" t="s">
        <v>149</v>
      </c>
      <c r="H69" s="1419" t="s">
        <v>151</v>
      </c>
      <c r="I69" s="46"/>
      <c r="K69" s="46"/>
    </row>
    <row r="70" spans="1:11" s="71" customFormat="1" ht="35.25" customHeight="1" thickBot="1" x14ac:dyDescent="0.3">
      <c r="A70" s="1367"/>
      <c r="B70" s="1423"/>
      <c r="C70" s="1424"/>
      <c r="D70" s="1423"/>
      <c r="E70" s="1426"/>
      <c r="F70" s="1424"/>
      <c r="G70" s="1370"/>
      <c r="H70" s="1420"/>
      <c r="I70" s="46"/>
      <c r="K70" s="46"/>
    </row>
    <row r="71" spans="1:11" s="71" customFormat="1" ht="15.95" customHeight="1" x14ac:dyDescent="0.25">
      <c r="A71" s="1072" t="s">
        <v>429</v>
      </c>
      <c r="B71" s="1403">
        <v>300000</v>
      </c>
      <c r="C71" s="1404"/>
      <c r="D71" s="1375">
        <v>550000</v>
      </c>
      <c r="E71" s="1376"/>
      <c r="F71" s="1377"/>
      <c r="G71" s="1105">
        <v>300000</v>
      </c>
      <c r="H71" s="1073">
        <f t="shared" ref="H71:H72" si="7">G71/D71*100</f>
        <v>54.54545454545454</v>
      </c>
      <c r="I71" s="46"/>
      <c r="K71" s="46"/>
    </row>
    <row r="72" spans="1:11" s="71" customFormat="1" ht="15.95" customHeight="1" x14ac:dyDescent="0.25">
      <c r="A72" s="1072" t="s">
        <v>410</v>
      </c>
      <c r="B72" s="1405">
        <f>+B15</f>
        <v>300000</v>
      </c>
      <c r="C72" s="1406"/>
      <c r="D72" s="1378">
        <f>+D15</f>
        <v>1250000</v>
      </c>
      <c r="E72" s="1379"/>
      <c r="F72" s="1380"/>
      <c r="G72" s="728">
        <f>+G15</f>
        <v>1650000</v>
      </c>
      <c r="H72" s="1073">
        <f t="shared" si="7"/>
        <v>132</v>
      </c>
      <c r="I72" s="46"/>
      <c r="K72" s="46"/>
    </row>
    <row r="73" spans="1:11" s="71" customFormat="1" ht="30" customHeight="1" thickBot="1" x14ac:dyDescent="0.3">
      <c r="A73" s="1072" t="s">
        <v>459</v>
      </c>
      <c r="B73" s="1407">
        <f>+B16</f>
        <v>0</v>
      </c>
      <c r="C73" s="1408"/>
      <c r="D73" s="1381">
        <f>+D16</f>
        <v>0</v>
      </c>
      <c r="E73" s="1382"/>
      <c r="F73" s="1383"/>
      <c r="G73" s="933">
        <f>+G16</f>
        <v>50000</v>
      </c>
      <c r="H73" s="1073" t="s">
        <v>171</v>
      </c>
      <c r="I73" s="46"/>
      <c r="K73" s="46"/>
    </row>
    <row r="74" spans="1:11" s="59" customFormat="1" ht="20.25" customHeight="1" thickBot="1" x14ac:dyDescent="0.3">
      <c r="A74" s="1088" t="s">
        <v>9</v>
      </c>
      <c r="B74" s="1409">
        <f>SUM(B71:B73)</f>
        <v>600000</v>
      </c>
      <c r="C74" s="1410"/>
      <c r="D74" s="1384">
        <f t="shared" ref="D74" si="8">SUM(D71:D73)</f>
        <v>1800000</v>
      </c>
      <c r="E74" s="1385"/>
      <c r="F74" s="1386"/>
      <c r="G74" s="729">
        <f>SUM(G71:G73)</f>
        <v>2000000</v>
      </c>
      <c r="H74" s="1093">
        <f t="shared" ref="H74" si="9">G74/D74*100</f>
        <v>111.11111111111111</v>
      </c>
      <c r="I74" s="46"/>
      <c r="K74" s="46"/>
    </row>
    <row r="75" spans="1:11" ht="6" customHeight="1" x14ac:dyDescent="0.25">
      <c r="A75" s="69"/>
      <c r="B75" s="1200"/>
      <c r="C75" s="1200"/>
      <c r="D75" s="1202"/>
      <c r="E75" s="1202"/>
      <c r="F75" s="1203"/>
    </row>
    <row r="76" spans="1:11" s="71" customFormat="1" ht="32.25" customHeight="1" x14ac:dyDescent="0.25">
      <c r="A76" s="1107" t="s">
        <v>121</v>
      </c>
      <c r="B76" s="1411">
        <f>+B41</f>
        <v>550000</v>
      </c>
      <c r="C76" s="1412"/>
      <c r="D76" s="1387">
        <f>+D41</f>
        <v>1750000</v>
      </c>
      <c r="E76" s="1388"/>
      <c r="F76" s="1389"/>
      <c r="G76" s="263">
        <f>+G41</f>
        <v>2600000</v>
      </c>
      <c r="H76" s="1119">
        <f>+H41</f>
        <v>148.57142857142858</v>
      </c>
      <c r="I76" s="46"/>
      <c r="K76" s="46"/>
    </row>
    <row r="77" spans="1:11" s="71" customFormat="1" ht="48" customHeight="1" thickBot="1" x14ac:dyDescent="0.3">
      <c r="A77" s="1107" t="s">
        <v>114</v>
      </c>
      <c r="B77" s="1399">
        <f>+B42</f>
        <v>50000</v>
      </c>
      <c r="C77" s="1400"/>
      <c r="D77" s="1390">
        <f>+D42</f>
        <v>50000</v>
      </c>
      <c r="E77" s="1391"/>
      <c r="F77" s="1392"/>
      <c r="G77" s="263">
        <f>+G42</f>
        <v>100000</v>
      </c>
      <c r="H77" s="1119">
        <f>+H42</f>
        <v>200</v>
      </c>
      <c r="I77" s="46"/>
      <c r="K77" s="46"/>
    </row>
    <row r="78" spans="1:11" s="59" customFormat="1" ht="20.25" customHeight="1" thickBot="1" x14ac:dyDescent="0.3">
      <c r="A78" s="1115" t="s">
        <v>14</v>
      </c>
      <c r="B78" s="1401">
        <f>SUM(B76:B77)</f>
        <v>600000</v>
      </c>
      <c r="C78" s="1402"/>
      <c r="D78" s="1393">
        <f t="shared" ref="D78:G78" si="10">SUM(D76:D77)</f>
        <v>1800000</v>
      </c>
      <c r="E78" s="1394"/>
      <c r="F78" s="1395"/>
      <c r="G78" s="729">
        <f t="shared" si="10"/>
        <v>2700000</v>
      </c>
      <c r="H78" s="1121">
        <f t="shared" ref="H78" si="11">G78/D78*100</f>
        <v>150</v>
      </c>
      <c r="I78" s="46"/>
      <c r="K78" s="46"/>
    </row>
    <row r="79" spans="1:11" ht="6.75" customHeight="1" thickBot="1" x14ac:dyDescent="0.3">
      <c r="A79" s="69"/>
      <c r="B79" s="1200"/>
      <c r="C79" s="1200"/>
      <c r="D79" s="1202"/>
      <c r="E79" s="1202"/>
      <c r="F79" s="1203"/>
    </row>
    <row r="80" spans="1:11" s="55" customFormat="1" ht="18.75" customHeight="1" thickBot="1" x14ac:dyDescent="0.3">
      <c r="A80" s="1071" t="s">
        <v>424</v>
      </c>
      <c r="B80" s="1373">
        <f>+B74-B78</f>
        <v>0</v>
      </c>
      <c r="C80" s="1374"/>
      <c r="D80" s="1396">
        <f t="shared" ref="D80:G80" si="12">+D74-D78</f>
        <v>0</v>
      </c>
      <c r="E80" s="1397"/>
      <c r="F80" s="1398"/>
      <c r="G80" s="730">
        <f t="shared" si="12"/>
        <v>-700000</v>
      </c>
      <c r="H80" s="1052" t="s">
        <v>159</v>
      </c>
      <c r="I80" s="46"/>
      <c r="K80" s="46"/>
    </row>
    <row r="81" spans="1:11" s="55" customFormat="1" ht="6" customHeight="1" thickBot="1" x14ac:dyDescent="0.3">
      <c r="A81" s="930"/>
      <c r="B81" s="1201"/>
      <c r="C81" s="1201"/>
      <c r="D81" s="931"/>
      <c r="E81" s="931"/>
      <c r="F81" s="1194"/>
      <c r="G81" s="931"/>
      <c r="H81" s="932"/>
      <c r="I81" s="46"/>
      <c r="K81" s="46"/>
    </row>
    <row r="82" spans="1:11" s="71" customFormat="1" ht="15.75" customHeight="1" x14ac:dyDescent="0.25">
      <c r="A82" s="1122" t="s">
        <v>438</v>
      </c>
      <c r="B82" s="1403">
        <v>0</v>
      </c>
      <c r="C82" s="1404"/>
      <c r="D82" s="1375">
        <v>0</v>
      </c>
      <c r="E82" s="1376"/>
      <c r="F82" s="1377"/>
      <c r="G82" s="1105">
        <v>0</v>
      </c>
      <c r="H82" s="1123" t="s">
        <v>159</v>
      </c>
      <c r="I82" s="46"/>
      <c r="K82" s="46"/>
    </row>
    <row r="83" spans="1:11" s="58" customFormat="1" ht="30" customHeight="1" thickBot="1" x14ac:dyDescent="0.25">
      <c r="A83" s="1124" t="s">
        <v>430</v>
      </c>
      <c r="B83" s="1399">
        <v>0</v>
      </c>
      <c r="C83" s="1400"/>
      <c r="D83" s="1390">
        <v>0</v>
      </c>
      <c r="E83" s="1391"/>
      <c r="F83" s="1392"/>
      <c r="G83" s="1055">
        <v>700000</v>
      </c>
      <c r="H83" s="1125" t="s">
        <v>71</v>
      </c>
      <c r="I83" s="1067"/>
      <c r="K83" s="1067"/>
    </row>
    <row r="84" spans="1:11" s="55" customFormat="1" ht="6" customHeight="1" thickBot="1" x14ac:dyDescent="0.3">
      <c r="A84" s="930"/>
      <c r="B84" s="1201"/>
      <c r="C84" s="1201"/>
      <c r="D84" s="931"/>
      <c r="E84" s="931"/>
      <c r="F84" s="1194"/>
      <c r="G84" s="931"/>
      <c r="H84" s="932"/>
      <c r="I84" s="46"/>
      <c r="K84" s="46"/>
    </row>
    <row r="85" spans="1:11" s="60" customFormat="1" ht="36" customHeight="1" thickBot="1" x14ac:dyDescent="0.3">
      <c r="A85" s="1048" t="s">
        <v>431</v>
      </c>
      <c r="B85" s="1373">
        <f>SUM(B80:B84)</f>
        <v>0</v>
      </c>
      <c r="C85" s="1374"/>
      <c r="D85" s="1396">
        <f>SUM(D80:D83)</f>
        <v>0</v>
      </c>
      <c r="E85" s="1397"/>
      <c r="F85" s="1398"/>
      <c r="G85" s="730">
        <f>SUM(G80:G83)</f>
        <v>0</v>
      </c>
      <c r="H85" s="1052" t="s">
        <v>159</v>
      </c>
      <c r="I85" s="46"/>
      <c r="K85" s="46"/>
    </row>
    <row r="86" spans="1:11" s="71" customFormat="1" ht="12.75" customHeight="1" x14ac:dyDescent="0.25">
      <c r="A86" s="72"/>
      <c r="B86" s="43"/>
      <c r="C86" s="43"/>
      <c r="D86" s="43"/>
      <c r="E86" s="43"/>
      <c r="F86" s="43"/>
      <c r="G86" s="45"/>
      <c r="H86" s="68"/>
      <c r="I86" s="46"/>
      <c r="K86" s="46"/>
    </row>
    <row r="89" spans="1:11" s="71" customFormat="1" ht="12.75" customHeight="1" x14ac:dyDescent="0.25">
      <c r="A89" s="67"/>
      <c r="B89" s="43"/>
      <c r="C89" s="43"/>
      <c r="D89" s="43"/>
      <c r="E89" s="43"/>
      <c r="F89" s="43"/>
      <c r="G89" s="45"/>
      <c r="H89" s="68"/>
      <c r="I89" s="46"/>
      <c r="K89" s="46"/>
    </row>
    <row r="90" spans="1:11" s="71" customFormat="1" ht="12.75" customHeight="1" x14ac:dyDescent="0.25">
      <c r="A90" s="72"/>
      <c r="B90" s="43"/>
      <c r="C90" s="43"/>
      <c r="D90" s="43"/>
      <c r="E90" s="43"/>
      <c r="F90" s="43"/>
      <c r="G90" s="45"/>
      <c r="H90" s="68"/>
      <c r="I90" s="46"/>
      <c r="K90" s="46"/>
    </row>
    <row r="91" spans="1:11" s="71" customFormat="1" ht="12.75" customHeight="1" x14ac:dyDescent="0.25">
      <c r="A91" s="72"/>
      <c r="B91" s="43"/>
      <c r="C91" s="43"/>
      <c r="D91" s="43"/>
      <c r="E91" s="43"/>
      <c r="F91" s="43"/>
      <c r="G91" s="45"/>
      <c r="H91" s="68"/>
      <c r="I91" s="46"/>
      <c r="K91" s="46"/>
    </row>
    <row r="92" spans="1:11" s="71" customFormat="1" ht="12.75" customHeight="1" x14ac:dyDescent="0.25">
      <c r="A92" s="72"/>
      <c r="B92" s="43"/>
      <c r="C92" s="43"/>
      <c r="D92" s="43"/>
      <c r="E92" s="43"/>
      <c r="F92" s="43"/>
      <c r="G92" s="45"/>
      <c r="H92" s="68"/>
      <c r="I92" s="46"/>
      <c r="K92" s="46"/>
    </row>
    <row r="93" spans="1:11" s="71" customFormat="1" ht="12.75" customHeight="1" x14ac:dyDescent="0.25">
      <c r="A93" s="72"/>
      <c r="B93" s="43"/>
      <c r="C93" s="43"/>
      <c r="D93" s="43"/>
      <c r="E93" s="43"/>
      <c r="F93" s="43"/>
      <c r="G93" s="45"/>
      <c r="H93" s="68"/>
      <c r="I93" s="46"/>
      <c r="K93" s="46"/>
    </row>
    <row r="94" spans="1:11" s="71" customFormat="1" ht="12.75" customHeight="1" x14ac:dyDescent="0.25">
      <c r="A94" s="72"/>
      <c r="B94" s="43"/>
      <c r="C94" s="43"/>
      <c r="D94" s="43"/>
      <c r="E94" s="43"/>
      <c r="F94" s="43"/>
      <c r="G94" s="45"/>
      <c r="H94" s="68"/>
      <c r="I94" s="46"/>
      <c r="K94" s="46"/>
    </row>
    <row r="95" spans="1:11" s="71" customFormat="1" ht="12.75" customHeight="1" x14ac:dyDescent="0.25">
      <c r="A95" s="72"/>
      <c r="B95" s="43"/>
      <c r="C95" s="43"/>
      <c r="D95" s="43"/>
      <c r="E95" s="43"/>
      <c r="F95" s="43"/>
      <c r="G95" s="45"/>
      <c r="H95" s="68"/>
      <c r="I95" s="46"/>
      <c r="K95" s="46"/>
    </row>
    <row r="96" spans="1:11" s="71" customFormat="1" ht="12.75" customHeight="1" x14ac:dyDescent="0.25">
      <c r="A96" s="72"/>
      <c r="B96" s="43"/>
      <c r="C96" s="43"/>
      <c r="D96" s="43"/>
      <c r="E96" s="43"/>
      <c r="F96" s="43"/>
      <c r="G96" s="45"/>
      <c r="H96" s="68"/>
      <c r="I96" s="46"/>
      <c r="K96" s="46"/>
    </row>
    <row r="97" spans="1:11" s="71" customFormat="1" ht="12.75" customHeight="1" x14ac:dyDescent="0.25">
      <c r="A97" s="72"/>
      <c r="B97" s="43"/>
      <c r="C97" s="43"/>
      <c r="D97" s="43"/>
      <c r="E97" s="43"/>
      <c r="F97" s="43"/>
      <c r="G97" s="45"/>
      <c r="H97" s="68"/>
      <c r="I97" s="46"/>
      <c r="K97" s="46"/>
    </row>
    <row r="98" spans="1:11" s="71" customFormat="1" ht="12.75" customHeight="1" x14ac:dyDescent="0.25">
      <c r="A98" s="73"/>
      <c r="B98" s="43"/>
      <c r="C98" s="43"/>
      <c r="D98" s="43"/>
      <c r="E98" s="43"/>
      <c r="F98" s="43"/>
      <c r="G98" s="45"/>
      <c r="H98" s="68"/>
      <c r="I98" s="46"/>
      <c r="K98" s="46"/>
    </row>
    <row r="99" spans="1:11" s="71" customFormat="1" ht="12.75" customHeight="1" x14ac:dyDescent="0.25">
      <c r="A99" s="72"/>
      <c r="B99" s="43"/>
      <c r="C99" s="43"/>
      <c r="D99" s="43"/>
      <c r="E99" s="43"/>
      <c r="F99" s="43"/>
      <c r="G99" s="45"/>
      <c r="H99" s="68"/>
      <c r="I99" s="46"/>
      <c r="K99" s="46"/>
    </row>
    <row r="100" spans="1:11" s="71" customFormat="1" ht="12.75" customHeight="1" x14ac:dyDescent="0.25">
      <c r="A100" s="72"/>
      <c r="B100" s="43"/>
      <c r="C100" s="43"/>
      <c r="D100" s="43"/>
      <c r="E100" s="43"/>
      <c r="F100" s="43"/>
      <c r="G100" s="45"/>
      <c r="H100" s="68"/>
      <c r="I100" s="46"/>
      <c r="K100" s="46"/>
    </row>
    <row r="101" spans="1:11" s="71" customFormat="1" ht="12.75" customHeight="1" x14ac:dyDescent="0.25">
      <c r="A101" s="72"/>
      <c r="B101" s="43"/>
      <c r="C101" s="43"/>
      <c r="D101" s="43"/>
      <c r="E101" s="43"/>
      <c r="F101" s="43"/>
      <c r="G101" s="45"/>
      <c r="H101" s="68"/>
      <c r="I101" s="46"/>
      <c r="K101" s="46"/>
    </row>
    <row r="102" spans="1:11" s="71" customFormat="1" ht="12.75" customHeight="1" x14ac:dyDescent="0.25">
      <c r="A102" s="72"/>
      <c r="B102" s="43"/>
      <c r="C102" s="43"/>
      <c r="D102" s="43"/>
      <c r="E102" s="43"/>
      <c r="F102" s="43"/>
      <c r="G102" s="45"/>
      <c r="H102" s="68"/>
      <c r="I102" s="46"/>
      <c r="K102" s="46"/>
    </row>
    <row r="103" spans="1:11" s="71" customFormat="1" ht="12.75" customHeight="1" x14ac:dyDescent="0.25">
      <c r="A103" s="67"/>
      <c r="B103" s="43"/>
      <c r="C103" s="43"/>
      <c r="D103" s="43"/>
      <c r="E103" s="43"/>
      <c r="F103" s="43"/>
      <c r="G103" s="45"/>
      <c r="H103" s="68"/>
      <c r="I103" s="46"/>
      <c r="K103" s="46"/>
    </row>
    <row r="104" spans="1:11" s="71" customFormat="1" ht="12.75" customHeight="1" x14ac:dyDescent="0.25">
      <c r="A104" s="67"/>
      <c r="B104" s="43"/>
      <c r="C104" s="43"/>
      <c r="D104" s="43"/>
      <c r="E104" s="43"/>
      <c r="F104" s="43"/>
      <c r="G104" s="45"/>
      <c r="H104" s="68"/>
      <c r="I104" s="46"/>
      <c r="K104" s="46"/>
    </row>
    <row r="105" spans="1:11" s="71" customFormat="1" ht="12.75" customHeight="1" x14ac:dyDescent="0.25">
      <c r="A105" s="67"/>
      <c r="B105" s="43"/>
      <c r="C105" s="43"/>
      <c r="D105" s="43"/>
      <c r="E105" s="43"/>
      <c r="F105" s="43"/>
      <c r="G105" s="45"/>
      <c r="H105" s="68"/>
      <c r="I105" s="46"/>
      <c r="K105" s="46"/>
    </row>
    <row r="106" spans="1:11" s="71" customFormat="1" ht="12.75" customHeight="1" x14ac:dyDescent="0.25">
      <c r="A106" s="72"/>
      <c r="B106" s="43"/>
      <c r="C106" s="43"/>
      <c r="D106" s="43"/>
      <c r="E106" s="43"/>
      <c r="F106" s="43"/>
      <c r="G106" s="45"/>
      <c r="H106" s="68"/>
      <c r="I106" s="46"/>
      <c r="K106" s="46"/>
    </row>
    <row r="107" spans="1:11" s="71" customFormat="1" ht="12.75" customHeight="1" x14ac:dyDescent="0.25">
      <c r="A107" s="72"/>
      <c r="B107" s="43"/>
      <c r="C107" s="43"/>
      <c r="D107" s="43"/>
      <c r="E107" s="43"/>
      <c r="F107" s="43"/>
      <c r="G107" s="45"/>
      <c r="H107" s="68"/>
      <c r="I107" s="46"/>
      <c r="K107" s="46"/>
    </row>
    <row r="108" spans="1:11" s="71" customFormat="1" ht="12.75" customHeight="1" x14ac:dyDescent="0.25">
      <c r="A108" s="72"/>
      <c r="B108" s="43"/>
      <c r="C108" s="43"/>
      <c r="D108" s="43"/>
      <c r="E108" s="43"/>
      <c r="F108" s="43"/>
      <c r="G108" s="45"/>
      <c r="H108" s="68"/>
      <c r="I108" s="46"/>
      <c r="K108" s="46"/>
    </row>
    <row r="109" spans="1:11" s="71" customFormat="1" ht="12.75" customHeight="1" x14ac:dyDescent="0.25">
      <c r="A109" s="67"/>
      <c r="B109" s="43"/>
      <c r="C109" s="43"/>
      <c r="D109" s="43"/>
      <c r="E109" s="43"/>
      <c r="F109" s="43"/>
      <c r="G109" s="45"/>
      <c r="H109" s="68"/>
      <c r="I109" s="46"/>
      <c r="K109" s="46"/>
    </row>
    <row r="110" spans="1:11" s="71" customFormat="1" ht="12.75" customHeight="1" x14ac:dyDescent="0.25">
      <c r="A110" s="74"/>
      <c r="B110" s="43"/>
      <c r="C110" s="43"/>
      <c r="D110" s="43"/>
      <c r="E110" s="43"/>
      <c r="F110" s="43"/>
      <c r="G110" s="45"/>
      <c r="H110" s="68"/>
      <c r="I110" s="46"/>
      <c r="K110" s="46"/>
    </row>
    <row r="111" spans="1:11" s="71" customFormat="1" ht="12.75" customHeight="1" x14ac:dyDescent="0.25">
      <c r="A111" s="67"/>
      <c r="B111" s="43"/>
      <c r="C111" s="43"/>
      <c r="D111" s="43"/>
      <c r="E111" s="43"/>
      <c r="F111" s="43"/>
      <c r="G111" s="45"/>
      <c r="H111" s="68"/>
      <c r="I111" s="46"/>
      <c r="K111" s="46"/>
    </row>
    <row r="112" spans="1:11" s="71" customFormat="1" ht="12.75" customHeight="1" x14ac:dyDescent="0.25">
      <c r="A112" s="67"/>
      <c r="B112" s="43"/>
      <c r="C112" s="43"/>
      <c r="D112" s="43"/>
      <c r="E112" s="43"/>
      <c r="F112" s="43"/>
      <c r="G112" s="45"/>
      <c r="H112" s="68"/>
      <c r="I112" s="46"/>
      <c r="K112" s="46"/>
    </row>
    <row r="113" spans="1:11" s="71" customFormat="1" ht="12.75" customHeight="1" x14ac:dyDescent="0.25">
      <c r="A113" s="67"/>
      <c r="B113" s="43"/>
      <c r="C113" s="43"/>
      <c r="D113" s="43"/>
      <c r="E113" s="43"/>
      <c r="F113" s="43"/>
      <c r="G113" s="45"/>
      <c r="H113" s="68"/>
      <c r="I113" s="46"/>
      <c r="K113" s="46"/>
    </row>
    <row r="114" spans="1:11" s="71" customFormat="1" ht="12.75" customHeight="1" x14ac:dyDescent="0.25">
      <c r="A114" s="67"/>
      <c r="B114" s="43"/>
      <c r="C114" s="43"/>
      <c r="D114" s="43"/>
      <c r="E114" s="43"/>
      <c r="F114" s="43"/>
      <c r="G114" s="45"/>
      <c r="H114" s="68"/>
      <c r="I114" s="46"/>
      <c r="K114" s="46"/>
    </row>
    <row r="115" spans="1:11" s="71" customFormat="1" ht="12.75" customHeight="1" x14ac:dyDescent="0.25">
      <c r="A115" s="42"/>
      <c r="B115" s="43"/>
      <c r="C115" s="43"/>
      <c r="D115" s="43"/>
      <c r="E115" s="43"/>
      <c r="F115" s="43"/>
      <c r="G115" s="45"/>
      <c r="H115" s="68"/>
      <c r="I115" s="46"/>
      <c r="K115" s="46"/>
    </row>
    <row r="116" spans="1:11" s="71" customFormat="1" ht="12.75" customHeight="1" x14ac:dyDescent="0.25">
      <c r="A116" s="42"/>
      <c r="B116" s="43"/>
      <c r="C116" s="43"/>
      <c r="D116" s="43"/>
      <c r="E116" s="43"/>
      <c r="F116" s="43"/>
      <c r="G116" s="45"/>
      <c r="H116" s="68"/>
      <c r="I116" s="46"/>
      <c r="K116" s="46"/>
    </row>
    <row r="117" spans="1:11" s="71" customFormat="1" ht="12.75" customHeight="1" x14ac:dyDescent="0.25">
      <c r="A117" s="42"/>
      <c r="B117" s="43"/>
      <c r="C117" s="43"/>
      <c r="D117" s="43"/>
      <c r="E117" s="43"/>
      <c r="F117" s="43"/>
      <c r="G117" s="45"/>
      <c r="H117" s="68"/>
      <c r="I117" s="46"/>
      <c r="K117" s="46"/>
    </row>
    <row r="118" spans="1:11" s="71" customFormat="1" ht="12.75" customHeight="1" x14ac:dyDescent="0.25">
      <c r="A118" s="42"/>
      <c r="B118" s="43"/>
      <c r="C118" s="43"/>
      <c r="D118" s="43"/>
      <c r="E118" s="43"/>
      <c r="F118" s="43"/>
      <c r="G118" s="45"/>
      <c r="H118" s="68"/>
      <c r="I118" s="46"/>
      <c r="K118" s="46"/>
    </row>
    <row r="119" spans="1:11" ht="12.75" customHeight="1" x14ac:dyDescent="0.25"/>
    <row r="120" spans="1:11" ht="12.75" customHeight="1" x14ac:dyDescent="0.25"/>
    <row r="121" spans="1:11" ht="12.75" customHeight="1" x14ac:dyDescent="0.25"/>
    <row r="122" spans="1:11" ht="12.75" customHeight="1" x14ac:dyDescent="0.25"/>
    <row r="123" spans="1:11" ht="12.75" customHeight="1" x14ac:dyDescent="0.25"/>
    <row r="124" spans="1:11" ht="12.75" customHeight="1" x14ac:dyDescent="0.25"/>
    <row r="125" spans="1:11" ht="12.75" customHeight="1" x14ac:dyDescent="0.25"/>
    <row r="126" spans="1:11" ht="12.75" customHeight="1" x14ac:dyDescent="0.25"/>
    <row r="127" spans="1:11" ht="12.75" customHeight="1" x14ac:dyDescent="0.25"/>
    <row r="128" spans="1:11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429" spans="1:1" x14ac:dyDescent="0.25">
      <c r="A429" s="75"/>
    </row>
  </sheetData>
  <mergeCells count="36">
    <mergeCell ref="A7:A8"/>
    <mergeCell ref="B7:C7"/>
    <mergeCell ref="D7:F7"/>
    <mergeCell ref="G7:G8"/>
    <mergeCell ref="H7:H8"/>
    <mergeCell ref="A33:H33"/>
    <mergeCell ref="A9:H9"/>
    <mergeCell ref="A26:H26"/>
    <mergeCell ref="A59:H59"/>
    <mergeCell ref="A69:A70"/>
    <mergeCell ref="G69:G70"/>
    <mergeCell ref="H69:H70"/>
    <mergeCell ref="B69:C70"/>
    <mergeCell ref="D69:F70"/>
    <mergeCell ref="B83:C83"/>
    <mergeCell ref="B71:C71"/>
    <mergeCell ref="B72:C72"/>
    <mergeCell ref="B73:C73"/>
    <mergeCell ref="B74:C74"/>
    <mergeCell ref="B76:C76"/>
    <mergeCell ref="B85:C85"/>
    <mergeCell ref="D71:F71"/>
    <mergeCell ref="D72:F72"/>
    <mergeCell ref="D73:F73"/>
    <mergeCell ref="D74:F74"/>
    <mergeCell ref="D76:F76"/>
    <mergeCell ref="D77:F77"/>
    <mergeCell ref="D78:F78"/>
    <mergeCell ref="D80:F80"/>
    <mergeCell ref="D82:F82"/>
    <mergeCell ref="D83:F83"/>
    <mergeCell ref="D85:F85"/>
    <mergeCell ref="B77:C77"/>
    <mergeCell ref="B78:C78"/>
    <mergeCell ref="B80:C80"/>
    <mergeCell ref="B82:C8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0" orientation="portrait" r:id="rId1"/>
  <rowBreaks count="1" manualBreakCount="1">
    <brk id="6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1"/>
  <sheetViews>
    <sheetView workbookViewId="0"/>
  </sheetViews>
  <sheetFormatPr defaultRowHeight="12.75" x14ac:dyDescent="0.2"/>
  <cols>
    <col min="1" max="1" width="70.7109375" style="47" customWidth="1"/>
    <col min="2" max="5" width="20.7109375" style="83" customWidth="1"/>
    <col min="6" max="6" width="14.28515625" style="47" bestFit="1" customWidth="1"/>
    <col min="7" max="16384" width="9.140625" style="47"/>
  </cols>
  <sheetData>
    <row r="1" spans="1:6" ht="16.5" customHeight="1" x14ac:dyDescent="0.2"/>
    <row r="2" spans="1:6" ht="20.100000000000001" customHeight="1" x14ac:dyDescent="0.35">
      <c r="A2" s="33" t="s">
        <v>150</v>
      </c>
    </row>
    <row r="3" spans="1:6" ht="15" customHeight="1" x14ac:dyDescent="0.2"/>
    <row r="4" spans="1:6" ht="20.100000000000001" customHeight="1" x14ac:dyDescent="0.3">
      <c r="A4" s="82" t="s">
        <v>103</v>
      </c>
    </row>
    <row r="5" spans="1:6" ht="15" customHeight="1" x14ac:dyDescent="0.3">
      <c r="A5" s="82"/>
    </row>
    <row r="6" spans="1:6" ht="15" customHeight="1" thickBot="1" x14ac:dyDescent="0.3">
      <c r="E6" s="91" t="s">
        <v>0</v>
      </c>
    </row>
    <row r="7" spans="1:6" s="152" customFormat="1" ht="18.75" customHeight="1" thickBot="1" x14ac:dyDescent="0.25">
      <c r="A7" s="1630" t="s">
        <v>27</v>
      </c>
      <c r="B7" s="1632" t="s">
        <v>149</v>
      </c>
      <c r="C7" s="1633"/>
      <c r="D7" s="1633"/>
      <c r="E7" s="1634"/>
    </row>
    <row r="8" spans="1:6" ht="30" customHeight="1" thickBot="1" x14ac:dyDescent="0.25">
      <c r="A8" s="1631"/>
      <c r="B8" s="1171" t="s">
        <v>166</v>
      </c>
      <c r="C8" s="1170" t="s">
        <v>167</v>
      </c>
      <c r="D8" s="1172" t="s">
        <v>168</v>
      </c>
      <c r="E8" s="1173" t="s">
        <v>99</v>
      </c>
    </row>
    <row r="9" spans="1:6" ht="20.25" customHeight="1" x14ac:dyDescent="0.25">
      <c r="A9" s="683" t="s">
        <v>134</v>
      </c>
      <c r="B9" s="684">
        <v>74741</v>
      </c>
      <c r="C9" s="685">
        <v>8200</v>
      </c>
      <c r="D9" s="686">
        <v>6061</v>
      </c>
      <c r="E9" s="1044">
        <f>B9+C9+D9</f>
        <v>89002</v>
      </c>
      <c r="F9" s="52"/>
    </row>
    <row r="10" spans="1:6" ht="20.25" customHeight="1" x14ac:dyDescent="0.25">
      <c r="A10" s="687" t="s">
        <v>135</v>
      </c>
      <c r="B10" s="688">
        <v>507331</v>
      </c>
      <c r="C10" s="340">
        <v>76747</v>
      </c>
      <c r="D10" s="689">
        <v>8020</v>
      </c>
      <c r="E10" s="1045">
        <f t="shared" ref="E10:E25" si="0">B10+C10+D10</f>
        <v>592098</v>
      </c>
      <c r="F10" s="52"/>
    </row>
    <row r="11" spans="1:6" ht="20.25" customHeight="1" x14ac:dyDescent="0.25">
      <c r="A11" s="687" t="s">
        <v>30</v>
      </c>
      <c r="B11" s="688">
        <v>37628</v>
      </c>
      <c r="C11" s="340">
        <v>9110</v>
      </c>
      <c r="D11" s="689">
        <v>1505</v>
      </c>
      <c r="E11" s="1045">
        <f t="shared" si="0"/>
        <v>48243</v>
      </c>
      <c r="F11" s="52"/>
    </row>
    <row r="12" spans="1:6" ht="20.25" customHeight="1" x14ac:dyDescent="0.25">
      <c r="A12" s="690" t="s">
        <v>31</v>
      </c>
      <c r="B12" s="688">
        <v>4424132</v>
      </c>
      <c r="C12" s="340">
        <v>148014</v>
      </c>
      <c r="D12" s="689">
        <v>269551</v>
      </c>
      <c r="E12" s="1045">
        <f t="shared" si="0"/>
        <v>4841697</v>
      </c>
      <c r="F12" s="52"/>
    </row>
    <row r="13" spans="1:6" ht="20.25" customHeight="1" x14ac:dyDescent="0.25">
      <c r="A13" s="687" t="s">
        <v>130</v>
      </c>
      <c r="B13" s="688">
        <v>564519</v>
      </c>
      <c r="C13" s="340">
        <v>86836</v>
      </c>
      <c r="D13" s="689">
        <v>11400</v>
      </c>
      <c r="E13" s="1045">
        <f t="shared" si="0"/>
        <v>662755</v>
      </c>
      <c r="F13" s="52"/>
    </row>
    <row r="14" spans="1:6" ht="20.25" customHeight="1" x14ac:dyDescent="0.25">
      <c r="A14" s="687" t="s">
        <v>32</v>
      </c>
      <c r="B14" s="688">
        <v>292298</v>
      </c>
      <c r="C14" s="340">
        <v>75123</v>
      </c>
      <c r="D14" s="689">
        <v>28465</v>
      </c>
      <c r="E14" s="1045">
        <f t="shared" si="0"/>
        <v>395886</v>
      </c>
      <c r="F14" s="52"/>
    </row>
    <row r="15" spans="1:6" ht="20.25" customHeight="1" x14ac:dyDescent="0.25">
      <c r="A15" s="687" t="s">
        <v>33</v>
      </c>
      <c r="B15" s="688">
        <v>635325</v>
      </c>
      <c r="C15" s="340">
        <v>67443</v>
      </c>
      <c r="D15" s="689">
        <v>32801</v>
      </c>
      <c r="E15" s="1045">
        <f t="shared" si="0"/>
        <v>735569</v>
      </c>
      <c r="F15" s="52"/>
    </row>
    <row r="16" spans="1:6" ht="20.25" customHeight="1" x14ac:dyDescent="0.25">
      <c r="A16" s="687" t="s">
        <v>34</v>
      </c>
      <c r="B16" s="688">
        <v>59713</v>
      </c>
      <c r="C16" s="340">
        <v>109215</v>
      </c>
      <c r="D16" s="689">
        <v>7680</v>
      </c>
      <c r="E16" s="1045">
        <f t="shared" si="0"/>
        <v>176608</v>
      </c>
      <c r="F16" s="52"/>
    </row>
    <row r="17" spans="1:7" ht="20.25" customHeight="1" x14ac:dyDescent="0.25">
      <c r="A17" s="687" t="s">
        <v>35</v>
      </c>
      <c r="B17" s="688">
        <v>19673</v>
      </c>
      <c r="C17" s="340">
        <v>2317</v>
      </c>
      <c r="D17" s="689">
        <v>1104</v>
      </c>
      <c r="E17" s="1045">
        <f t="shared" si="0"/>
        <v>23094</v>
      </c>
      <c r="F17" s="52"/>
    </row>
    <row r="18" spans="1:7" ht="20.25" customHeight="1" x14ac:dyDescent="0.25">
      <c r="A18" s="687" t="s">
        <v>36</v>
      </c>
      <c r="B18" s="688">
        <v>21395</v>
      </c>
      <c r="C18" s="340">
        <v>25966</v>
      </c>
      <c r="D18" s="689">
        <v>4714</v>
      </c>
      <c r="E18" s="1045">
        <f t="shared" si="0"/>
        <v>52075</v>
      </c>
      <c r="F18" s="52"/>
    </row>
    <row r="19" spans="1:7" ht="20.25" customHeight="1" x14ac:dyDescent="0.25">
      <c r="A19" s="687" t="s">
        <v>37</v>
      </c>
      <c r="B19" s="688">
        <v>12138</v>
      </c>
      <c r="C19" s="340">
        <v>1153</v>
      </c>
      <c r="D19" s="689">
        <v>536</v>
      </c>
      <c r="E19" s="1045">
        <f t="shared" si="0"/>
        <v>13827</v>
      </c>
      <c r="F19" s="52"/>
    </row>
    <row r="20" spans="1:7" ht="20.25" customHeight="1" x14ac:dyDescent="0.25">
      <c r="A20" s="687" t="s">
        <v>38</v>
      </c>
      <c r="B20" s="688">
        <v>3200</v>
      </c>
      <c r="C20" s="340">
        <v>3090</v>
      </c>
      <c r="D20" s="689">
        <v>710</v>
      </c>
      <c r="E20" s="1045">
        <f t="shared" si="0"/>
        <v>7000</v>
      </c>
      <c r="F20" s="52"/>
    </row>
    <row r="21" spans="1:7" ht="20.25" customHeight="1" x14ac:dyDescent="0.25">
      <c r="A21" s="280" t="s">
        <v>95</v>
      </c>
      <c r="B21" s="688">
        <v>3740</v>
      </c>
      <c r="C21" s="340">
        <v>440</v>
      </c>
      <c r="D21" s="689">
        <v>220</v>
      </c>
      <c r="E21" s="1045">
        <f t="shared" si="0"/>
        <v>4400</v>
      </c>
      <c r="F21" s="52"/>
    </row>
    <row r="22" spans="1:7" ht="20.25" customHeight="1" x14ac:dyDescent="0.25">
      <c r="A22" s="687" t="s">
        <v>39</v>
      </c>
      <c r="B22" s="688">
        <v>287918</v>
      </c>
      <c r="C22" s="340">
        <v>29722</v>
      </c>
      <c r="D22" s="691">
        <v>25608</v>
      </c>
      <c r="E22" s="1045">
        <f t="shared" si="0"/>
        <v>343248</v>
      </c>
      <c r="F22" s="52"/>
    </row>
    <row r="23" spans="1:7" ht="20.25" customHeight="1" x14ac:dyDescent="0.25">
      <c r="A23" s="280" t="s">
        <v>96</v>
      </c>
      <c r="B23" s="688">
        <v>2500</v>
      </c>
      <c r="C23" s="340">
        <v>1500</v>
      </c>
      <c r="D23" s="691">
        <v>750</v>
      </c>
      <c r="E23" s="1045">
        <f t="shared" si="0"/>
        <v>4750</v>
      </c>
      <c r="F23" s="52"/>
    </row>
    <row r="24" spans="1:7" ht="20.25" customHeight="1" x14ac:dyDescent="0.25">
      <c r="A24" s="687" t="s">
        <v>40</v>
      </c>
      <c r="B24" s="688">
        <v>12350</v>
      </c>
      <c r="C24" s="340">
        <v>50</v>
      </c>
      <c r="D24" s="691">
        <v>100</v>
      </c>
      <c r="E24" s="1045">
        <f t="shared" si="0"/>
        <v>12500</v>
      </c>
      <c r="F24" s="52"/>
    </row>
    <row r="25" spans="1:7" ht="20.25" customHeight="1" thickBot="1" x14ac:dyDescent="0.3">
      <c r="A25" s="692" t="s">
        <v>98</v>
      </c>
      <c r="B25" s="693">
        <v>10824</v>
      </c>
      <c r="C25" s="694">
        <v>812</v>
      </c>
      <c r="D25" s="695">
        <v>405</v>
      </c>
      <c r="E25" s="1046">
        <f t="shared" si="0"/>
        <v>12041</v>
      </c>
      <c r="F25" s="52"/>
    </row>
    <row r="26" spans="1:7" s="60" customFormat="1" ht="30.75" customHeight="1" thickBot="1" x14ac:dyDescent="0.3">
      <c r="A26" s="1041" t="s">
        <v>70</v>
      </c>
      <c r="B26" s="1032">
        <f>SUM(B9:B25)</f>
        <v>6969425</v>
      </c>
      <c r="C26" s="1042">
        <f>SUM(C9:C25)</f>
        <v>645738</v>
      </c>
      <c r="D26" s="1043">
        <f>SUM(D9:D25)</f>
        <v>399630</v>
      </c>
      <c r="E26" s="1047">
        <f>SUM(E9:E25)</f>
        <v>8014793</v>
      </c>
      <c r="F26" s="1251"/>
      <c r="G26" s="1176"/>
    </row>
    <row r="30" spans="1:7" ht="18" customHeight="1" x14ac:dyDescent="0.3">
      <c r="A30" s="82" t="s">
        <v>367</v>
      </c>
    </row>
    <row r="31" spans="1:7" ht="18" customHeight="1" x14ac:dyDescent="0.3">
      <c r="A31" s="82"/>
    </row>
    <row r="32" spans="1:7" ht="15" customHeight="1" thickBot="1" x14ac:dyDescent="0.25">
      <c r="E32" s="675" t="s">
        <v>0</v>
      </c>
    </row>
    <row r="33" spans="1:6" ht="15.95" customHeight="1" thickBot="1" x14ac:dyDescent="0.25">
      <c r="A33" s="1635" t="s">
        <v>1</v>
      </c>
      <c r="B33" s="1632" t="s">
        <v>434</v>
      </c>
      <c r="C33" s="1633" t="s">
        <v>128</v>
      </c>
      <c r="D33" s="1633" t="s">
        <v>129</v>
      </c>
      <c r="E33" s="1634" t="s">
        <v>132</v>
      </c>
    </row>
    <row r="34" spans="1:6" ht="33" customHeight="1" thickBot="1" x14ac:dyDescent="0.25">
      <c r="A34" s="1636"/>
      <c r="B34" s="1171" t="s">
        <v>166</v>
      </c>
      <c r="C34" s="1170" t="s">
        <v>167</v>
      </c>
      <c r="D34" s="1172" t="s">
        <v>168</v>
      </c>
      <c r="E34" s="1173" t="s">
        <v>99</v>
      </c>
    </row>
    <row r="35" spans="1:6" ht="20.25" customHeight="1" x14ac:dyDescent="0.25">
      <c r="A35" s="1177" t="s">
        <v>140</v>
      </c>
      <c r="B35" s="1178">
        <v>6969425</v>
      </c>
      <c r="C35" s="1178">
        <v>645738</v>
      </c>
      <c r="D35" s="1182">
        <v>399630</v>
      </c>
      <c r="E35" s="1185">
        <f>SUM(B35:D35)</f>
        <v>8014793</v>
      </c>
    </row>
    <row r="36" spans="1:6" ht="20.25" customHeight="1" x14ac:dyDescent="0.25">
      <c r="A36" s="338" t="s">
        <v>143</v>
      </c>
      <c r="B36" s="346">
        <v>124000</v>
      </c>
      <c r="C36" s="347">
        <v>366000</v>
      </c>
      <c r="D36" s="1183">
        <v>0</v>
      </c>
      <c r="E36" s="1186">
        <f t="shared" ref="E36:E40" si="1">SUM(B36:D36)</f>
        <v>490000</v>
      </c>
      <c r="F36" s="83"/>
    </row>
    <row r="37" spans="1:6" ht="20.25" customHeight="1" x14ac:dyDescent="0.25">
      <c r="A37" s="345" t="s">
        <v>453</v>
      </c>
      <c r="B37" s="339">
        <v>525000</v>
      </c>
      <c r="C37" s="340">
        <v>105000</v>
      </c>
      <c r="D37" s="1188">
        <v>70000</v>
      </c>
      <c r="E37" s="1186">
        <f t="shared" si="1"/>
        <v>700000</v>
      </c>
      <c r="F37" s="83"/>
    </row>
    <row r="38" spans="1:6" ht="20.25" customHeight="1" x14ac:dyDescent="0.25">
      <c r="A38" s="345" t="s">
        <v>145</v>
      </c>
      <c r="B38" s="346">
        <v>475000</v>
      </c>
      <c r="C38" s="347">
        <v>55000</v>
      </c>
      <c r="D38" s="1183">
        <v>0</v>
      </c>
      <c r="E38" s="1186">
        <f t="shared" si="1"/>
        <v>530000</v>
      </c>
      <c r="F38" s="83"/>
    </row>
    <row r="39" spans="1:6" ht="30" x14ac:dyDescent="0.25">
      <c r="A39" s="338" t="s">
        <v>141</v>
      </c>
      <c r="B39" s="346">
        <v>0</v>
      </c>
      <c r="C39" s="347">
        <v>66058</v>
      </c>
      <c r="D39" s="1183">
        <v>0</v>
      </c>
      <c r="E39" s="1186">
        <f t="shared" si="1"/>
        <v>66058</v>
      </c>
      <c r="F39" s="83"/>
    </row>
    <row r="40" spans="1:6" ht="60.75" thickBot="1" x14ac:dyDescent="0.3">
      <c r="A40" s="1179" t="s">
        <v>144</v>
      </c>
      <c r="B40" s="717">
        <v>599149</v>
      </c>
      <c r="C40" s="718">
        <v>0</v>
      </c>
      <c r="D40" s="1184">
        <v>0</v>
      </c>
      <c r="E40" s="1187">
        <f t="shared" si="1"/>
        <v>599149</v>
      </c>
    </row>
    <row r="41" spans="1:6" s="60" customFormat="1" ht="30.75" customHeight="1" thickBot="1" x14ac:dyDescent="0.3">
      <c r="A41" s="676" t="s">
        <v>99</v>
      </c>
      <c r="B41" s="141">
        <f>SUM(B35:B40)</f>
        <v>8692574</v>
      </c>
      <c r="C41" s="677">
        <f>SUM(C35:C40)</f>
        <v>1237796</v>
      </c>
      <c r="D41" s="1180">
        <f>SUM(D35:D40)</f>
        <v>469630</v>
      </c>
      <c r="E41" s="256">
        <f>SUM(E35:E40)</f>
        <v>10400000</v>
      </c>
      <c r="F41" s="1181"/>
    </row>
    <row r="42" spans="1:6" x14ac:dyDescent="0.2">
      <c r="F42" s="83"/>
    </row>
    <row r="44" spans="1:6" ht="27.75" customHeight="1" x14ac:dyDescent="0.2">
      <c r="A44" s="1629" t="s">
        <v>454</v>
      </c>
      <c r="B44" s="1629"/>
      <c r="C44" s="1629"/>
      <c r="D44" s="1629"/>
      <c r="E44" s="1629"/>
    </row>
    <row r="45" spans="1:6" ht="13.5" customHeight="1" x14ac:dyDescent="0.2">
      <c r="A45" s="678"/>
      <c r="B45" s="678"/>
      <c r="C45" s="678"/>
      <c r="D45" s="678"/>
      <c r="E45" s="678"/>
    </row>
    <row r="46" spans="1:6" ht="13.5" thickBot="1" x14ac:dyDescent="0.25">
      <c r="B46" s="675" t="s">
        <v>0</v>
      </c>
    </row>
    <row r="47" spans="1:6" ht="20.25" customHeight="1" thickBot="1" x14ac:dyDescent="0.25">
      <c r="A47" s="679" t="s">
        <v>455</v>
      </c>
      <c r="B47" s="680">
        <f>+'Sumář příjmů a výdajů'!G10*0.15</f>
        <v>1560000</v>
      </c>
      <c r="C47" s="71"/>
      <c r="D47" s="71"/>
    </row>
    <row r="48" spans="1:6" ht="20.25" customHeight="1" thickBot="1" x14ac:dyDescent="0.25">
      <c r="A48" s="681" t="s">
        <v>142</v>
      </c>
      <c r="B48" s="682">
        <f>+C41+D41</f>
        <v>1707426</v>
      </c>
      <c r="C48" s="71"/>
      <c r="D48" s="71"/>
    </row>
    <row r="51" spans="1:1" x14ac:dyDescent="0.2">
      <c r="A51" s="47" t="s">
        <v>146</v>
      </c>
    </row>
    <row r="431" spans="1:1" s="83" customFormat="1" x14ac:dyDescent="0.2">
      <c r="A431" s="89"/>
    </row>
  </sheetData>
  <mergeCells count="5">
    <mergeCell ref="A44:E44"/>
    <mergeCell ref="A7:A8"/>
    <mergeCell ref="B7:E7"/>
    <mergeCell ref="B33:E33"/>
    <mergeCell ref="A33:A34"/>
  </mergeCell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7"/>
  <sheetViews>
    <sheetView workbookViewId="0">
      <selection activeCell="B17" sqref="B17"/>
    </sheetView>
  </sheetViews>
  <sheetFormatPr defaultRowHeight="12.75" x14ac:dyDescent="0.2"/>
  <cols>
    <col min="1" max="1" width="9.7109375" style="47" customWidth="1"/>
    <col min="2" max="2" width="61.7109375" style="47" customWidth="1"/>
    <col min="3" max="3" width="16.7109375" style="83" customWidth="1"/>
    <col min="4" max="4" width="16.7109375" style="52" customWidth="1"/>
    <col min="5" max="5" width="16.7109375" style="83" customWidth="1"/>
    <col min="6" max="7" width="16.7109375" style="52" customWidth="1"/>
    <col min="8" max="8" width="16.7109375" style="83" customWidth="1"/>
    <col min="9" max="9" width="10.7109375" style="84" customWidth="1"/>
    <col min="10" max="10" width="10.28515625" style="47" bestFit="1" customWidth="1"/>
    <col min="11" max="16384" width="9.140625" style="47"/>
  </cols>
  <sheetData>
    <row r="1" spans="1:9" s="31" customFormat="1" ht="15" customHeight="1" x14ac:dyDescent="0.4">
      <c r="A1" s="33"/>
      <c r="B1" s="76"/>
      <c r="D1" s="49"/>
      <c r="F1" s="49"/>
      <c r="G1" s="49"/>
    </row>
    <row r="2" spans="1:9" s="31" customFormat="1" ht="24" customHeight="1" x14ac:dyDescent="0.4">
      <c r="A2" s="33" t="s">
        <v>150</v>
      </c>
      <c r="B2" s="76"/>
      <c r="D2" s="49"/>
      <c r="F2" s="49"/>
      <c r="G2" s="49"/>
    </row>
    <row r="3" spans="1:9" s="78" customFormat="1" ht="15" customHeight="1" x14ac:dyDescent="0.2">
      <c r="A3" s="77"/>
      <c r="D3" s="79"/>
    </row>
    <row r="4" spans="1:9" s="78" customFormat="1" ht="20.100000000000001" customHeight="1" x14ac:dyDescent="0.3">
      <c r="A4" s="1427" t="s">
        <v>82</v>
      </c>
      <c r="B4" s="1428"/>
      <c r="C4" s="80"/>
      <c r="D4" s="81"/>
      <c r="E4" s="80"/>
    </row>
    <row r="5" spans="1:9" ht="15" customHeight="1" x14ac:dyDescent="0.3">
      <c r="B5" s="82"/>
    </row>
    <row r="6" spans="1:9" ht="15" customHeight="1" thickBot="1" x14ac:dyDescent="0.3">
      <c r="I6" s="85" t="s">
        <v>0</v>
      </c>
    </row>
    <row r="7" spans="1:9" ht="15.95" customHeight="1" x14ac:dyDescent="0.2">
      <c r="A7" s="1429" t="s">
        <v>1</v>
      </c>
      <c r="B7" s="1425" t="s">
        <v>1</v>
      </c>
      <c r="C7" s="1364" t="s">
        <v>164</v>
      </c>
      <c r="D7" s="1365"/>
      <c r="E7" s="1364" t="s">
        <v>132</v>
      </c>
      <c r="F7" s="1368"/>
      <c r="G7" s="1365"/>
      <c r="H7" s="1369" t="s">
        <v>149</v>
      </c>
      <c r="I7" s="1371" t="s">
        <v>151</v>
      </c>
    </row>
    <row r="8" spans="1:9" ht="27" customHeight="1" thickBot="1" x14ac:dyDescent="0.25">
      <c r="A8" s="1430"/>
      <c r="B8" s="1426"/>
      <c r="C8" s="1216" t="s">
        <v>169</v>
      </c>
      <c r="D8" s="1225" t="s">
        <v>170</v>
      </c>
      <c r="E8" s="1216" t="s">
        <v>169</v>
      </c>
      <c r="F8" s="1217" t="s">
        <v>470</v>
      </c>
      <c r="G8" s="1218" t="s">
        <v>471</v>
      </c>
      <c r="H8" s="1370"/>
      <c r="I8" s="1372"/>
    </row>
    <row r="9" spans="1:9" ht="20.25" customHeight="1" x14ac:dyDescent="0.2">
      <c r="A9" s="1323" t="s">
        <v>18</v>
      </c>
      <c r="B9" s="1324" t="s">
        <v>19</v>
      </c>
      <c r="C9" s="1325">
        <v>38000</v>
      </c>
      <c r="D9" s="1326">
        <v>34165.49</v>
      </c>
      <c r="E9" s="1325">
        <v>42000</v>
      </c>
      <c r="F9" s="1327">
        <v>51124.22</v>
      </c>
      <c r="G9" s="1326">
        <v>35206.03</v>
      </c>
      <c r="H9" s="1328">
        <v>42000</v>
      </c>
      <c r="I9" s="1329">
        <f>H9/E9*100</f>
        <v>100</v>
      </c>
    </row>
    <row r="10" spans="1:9" ht="20.25" customHeight="1" x14ac:dyDescent="0.2">
      <c r="A10" s="1330" t="s">
        <v>18</v>
      </c>
      <c r="B10" s="1331" t="s">
        <v>442</v>
      </c>
      <c r="C10" s="1332">
        <v>30000</v>
      </c>
      <c r="D10" s="1333">
        <v>33369.9</v>
      </c>
      <c r="E10" s="1332">
        <v>30000</v>
      </c>
      <c r="F10" s="1334">
        <v>38490.85</v>
      </c>
      <c r="G10" s="1333">
        <v>22874.58</v>
      </c>
      <c r="H10" s="1335">
        <v>30000</v>
      </c>
      <c r="I10" s="1336">
        <f t="shared" ref="I10:I25" si="0">H10/E10*100</f>
        <v>100</v>
      </c>
    </row>
    <row r="11" spans="1:9" ht="20.25" customHeight="1" x14ac:dyDescent="0.2">
      <c r="A11" s="1330" t="s">
        <v>20</v>
      </c>
      <c r="B11" s="1331" t="s">
        <v>21</v>
      </c>
      <c r="C11" s="1332">
        <v>20000</v>
      </c>
      <c r="D11" s="1333">
        <v>19166.990000000002</v>
      </c>
      <c r="E11" s="1332">
        <v>20000</v>
      </c>
      <c r="F11" s="1334">
        <v>20000</v>
      </c>
      <c r="G11" s="1333">
        <v>10389.41</v>
      </c>
      <c r="H11" s="1335">
        <v>20000</v>
      </c>
      <c r="I11" s="1336">
        <f t="shared" si="0"/>
        <v>100</v>
      </c>
    </row>
    <row r="12" spans="1:9" ht="20.25" customHeight="1" x14ac:dyDescent="0.2">
      <c r="A12" s="1330" t="s">
        <v>81</v>
      </c>
      <c r="B12" s="1331" t="s">
        <v>92</v>
      </c>
      <c r="C12" s="1332">
        <v>2000</v>
      </c>
      <c r="D12" s="1333">
        <v>1958.65</v>
      </c>
      <c r="E12" s="1332">
        <v>2000</v>
      </c>
      <c r="F12" s="1334">
        <v>2000</v>
      </c>
      <c r="G12" s="1333">
        <v>1127.18</v>
      </c>
      <c r="H12" s="1335">
        <v>4000</v>
      </c>
      <c r="I12" s="1336">
        <f t="shared" si="0"/>
        <v>200</v>
      </c>
    </row>
    <row r="13" spans="1:9" ht="20.25" customHeight="1" x14ac:dyDescent="0.2">
      <c r="A13" s="1330" t="s">
        <v>22</v>
      </c>
      <c r="B13" s="1331" t="s">
        <v>416</v>
      </c>
      <c r="C13" s="1332">
        <v>25000</v>
      </c>
      <c r="D13" s="1333">
        <v>24931.16</v>
      </c>
      <c r="E13" s="1332">
        <v>25000</v>
      </c>
      <c r="F13" s="1334">
        <v>25000</v>
      </c>
      <c r="G13" s="1333">
        <v>21527.75</v>
      </c>
      <c r="H13" s="1335">
        <v>24000</v>
      </c>
      <c r="I13" s="1336">
        <f t="shared" ref="I13:I23" si="1">H13/E13*100</f>
        <v>96</v>
      </c>
    </row>
    <row r="14" spans="1:9" ht="20.25" customHeight="1" x14ac:dyDescent="0.2">
      <c r="A14" s="1330" t="s">
        <v>22</v>
      </c>
      <c r="B14" s="1331" t="s">
        <v>504</v>
      </c>
      <c r="C14" s="1332">
        <v>0</v>
      </c>
      <c r="D14" s="1333">
        <v>0</v>
      </c>
      <c r="E14" s="1332">
        <v>0</v>
      </c>
      <c r="F14" s="1334">
        <v>10000</v>
      </c>
      <c r="G14" s="1333">
        <v>0</v>
      </c>
      <c r="H14" s="1335">
        <v>0</v>
      </c>
      <c r="I14" s="1336" t="s">
        <v>71</v>
      </c>
    </row>
    <row r="15" spans="1:9" ht="20.25" customHeight="1" x14ac:dyDescent="0.2">
      <c r="A15" s="1330" t="s">
        <v>115</v>
      </c>
      <c r="B15" s="1331" t="s">
        <v>23</v>
      </c>
      <c r="C15" s="1332">
        <v>0</v>
      </c>
      <c r="D15" s="1333">
        <f>6040.33+18789.72</f>
        <v>24830.050000000003</v>
      </c>
      <c r="E15" s="1332">
        <v>0</v>
      </c>
      <c r="F15" s="1334">
        <v>16541.27</v>
      </c>
      <c r="G15" s="1333">
        <v>222.74</v>
      </c>
      <c r="H15" s="1335">
        <v>0</v>
      </c>
      <c r="I15" s="1336" t="s">
        <v>159</v>
      </c>
    </row>
    <row r="16" spans="1:9" ht="30" x14ac:dyDescent="0.2">
      <c r="A16" s="1330" t="s">
        <v>115</v>
      </c>
      <c r="B16" s="1331" t="s">
        <v>475</v>
      </c>
      <c r="C16" s="1332">
        <v>110000</v>
      </c>
      <c r="D16" s="1333">
        <v>55452.5</v>
      </c>
      <c r="E16" s="1332">
        <v>110000</v>
      </c>
      <c r="F16" s="1334">
        <v>216364.81</v>
      </c>
      <c r="G16" s="1333">
        <v>58853.29</v>
      </c>
      <c r="H16" s="1335">
        <v>110000</v>
      </c>
      <c r="I16" s="1336">
        <f t="shared" si="1"/>
        <v>100</v>
      </c>
    </row>
    <row r="17" spans="1:9" ht="20.25" customHeight="1" x14ac:dyDescent="0.2">
      <c r="A17" s="1330" t="s">
        <v>115</v>
      </c>
      <c r="B17" s="1331" t="s">
        <v>93</v>
      </c>
      <c r="C17" s="1332">
        <v>100000</v>
      </c>
      <c r="D17" s="1333">
        <v>76622.37</v>
      </c>
      <c r="E17" s="1332">
        <v>120000</v>
      </c>
      <c r="F17" s="1334">
        <v>203577.89</v>
      </c>
      <c r="G17" s="1333">
        <v>45070.81</v>
      </c>
      <c r="H17" s="1335">
        <v>120000</v>
      </c>
      <c r="I17" s="1336">
        <f t="shared" si="1"/>
        <v>100</v>
      </c>
    </row>
    <row r="18" spans="1:9" ht="20.25" customHeight="1" x14ac:dyDescent="0.2">
      <c r="A18" s="1330" t="s">
        <v>115</v>
      </c>
      <c r="B18" s="1337" t="s">
        <v>148</v>
      </c>
      <c r="C18" s="1332">
        <v>0</v>
      </c>
      <c r="D18" s="1333">
        <v>0</v>
      </c>
      <c r="E18" s="1332">
        <v>30000</v>
      </c>
      <c r="F18" s="1334">
        <v>30000</v>
      </c>
      <c r="G18" s="1333">
        <v>0</v>
      </c>
      <c r="H18" s="1335">
        <v>30000</v>
      </c>
      <c r="I18" s="1336">
        <f t="shared" si="1"/>
        <v>100</v>
      </c>
    </row>
    <row r="19" spans="1:9" ht="20.25" customHeight="1" x14ac:dyDescent="0.2">
      <c r="A19" s="1330" t="s">
        <v>115</v>
      </c>
      <c r="B19" s="1338" t="s">
        <v>365</v>
      </c>
      <c r="C19" s="1332">
        <v>0</v>
      </c>
      <c r="D19" s="1333">
        <v>0</v>
      </c>
      <c r="E19" s="1332">
        <v>0</v>
      </c>
      <c r="F19" s="1334">
        <v>50000</v>
      </c>
      <c r="G19" s="1333">
        <v>0</v>
      </c>
      <c r="H19" s="1335">
        <v>0</v>
      </c>
      <c r="I19" s="1336" t="s">
        <v>159</v>
      </c>
    </row>
    <row r="20" spans="1:9" ht="20.25" customHeight="1" x14ac:dyDescent="0.2">
      <c r="A20" s="1330" t="s">
        <v>24</v>
      </c>
      <c r="B20" s="1331" t="s">
        <v>25</v>
      </c>
      <c r="C20" s="1332">
        <v>0</v>
      </c>
      <c r="D20" s="1333">
        <v>9804.11</v>
      </c>
      <c r="E20" s="1332">
        <v>20000</v>
      </c>
      <c r="F20" s="1334">
        <v>90827.75</v>
      </c>
      <c r="G20" s="1333">
        <v>27459.75</v>
      </c>
      <c r="H20" s="1335">
        <v>20000</v>
      </c>
      <c r="I20" s="1336">
        <f t="shared" si="1"/>
        <v>100</v>
      </c>
    </row>
    <row r="21" spans="1:9" ht="20.25" customHeight="1" x14ac:dyDescent="0.2">
      <c r="A21" s="1330" t="s">
        <v>24</v>
      </c>
      <c r="B21" s="1331" t="s">
        <v>487</v>
      </c>
      <c r="C21" s="1332">
        <v>0</v>
      </c>
      <c r="D21" s="1333">
        <v>3465.17</v>
      </c>
      <c r="E21" s="1332">
        <v>0</v>
      </c>
      <c r="F21" s="1334">
        <v>1962.29</v>
      </c>
      <c r="G21" s="1333">
        <v>558.15</v>
      </c>
      <c r="H21" s="1335">
        <v>0</v>
      </c>
      <c r="I21" s="1336" t="s">
        <v>159</v>
      </c>
    </row>
    <row r="22" spans="1:9" ht="20.25" customHeight="1" x14ac:dyDescent="0.2">
      <c r="A22" s="1330" t="s">
        <v>24</v>
      </c>
      <c r="B22" s="1331" t="s">
        <v>94</v>
      </c>
      <c r="C22" s="1332">
        <v>50000</v>
      </c>
      <c r="D22" s="1333">
        <v>62192.57</v>
      </c>
      <c r="E22" s="1332">
        <v>50000</v>
      </c>
      <c r="F22" s="1334">
        <v>124782.89</v>
      </c>
      <c r="G22" s="1333">
        <v>27182.29</v>
      </c>
      <c r="H22" s="1335">
        <v>50000</v>
      </c>
      <c r="I22" s="1336">
        <f t="shared" si="1"/>
        <v>100</v>
      </c>
    </row>
    <row r="23" spans="1:9" ht="20.25" customHeight="1" x14ac:dyDescent="0.2">
      <c r="A23" s="1330" t="s">
        <v>26</v>
      </c>
      <c r="B23" s="1331" t="s">
        <v>486</v>
      </c>
      <c r="C23" s="1332">
        <v>35000</v>
      </c>
      <c r="D23" s="1333">
        <v>34953.199999999997</v>
      </c>
      <c r="E23" s="1332">
        <v>35000</v>
      </c>
      <c r="F23" s="1334">
        <v>35000</v>
      </c>
      <c r="G23" s="1333">
        <v>29731.32</v>
      </c>
      <c r="H23" s="1335">
        <v>35000</v>
      </c>
      <c r="I23" s="1336">
        <f t="shared" si="1"/>
        <v>100</v>
      </c>
    </row>
    <row r="24" spans="1:9" ht="20.25" customHeight="1" thickBot="1" x14ac:dyDescent="0.25">
      <c r="A24" s="1339" t="s">
        <v>390</v>
      </c>
      <c r="B24" s="1340" t="s">
        <v>433</v>
      </c>
      <c r="C24" s="1341">
        <v>0</v>
      </c>
      <c r="D24" s="1342">
        <v>0</v>
      </c>
      <c r="E24" s="1341">
        <v>0</v>
      </c>
      <c r="F24" s="1343">
        <v>0</v>
      </c>
      <c r="G24" s="1342">
        <v>0</v>
      </c>
      <c r="H24" s="1344">
        <v>5000</v>
      </c>
      <c r="I24" s="1336" t="s">
        <v>159</v>
      </c>
    </row>
    <row r="25" spans="1:9" s="60" customFormat="1" ht="30" customHeight="1" thickBot="1" x14ac:dyDescent="0.3">
      <c r="A25" s="1345" t="s">
        <v>68</v>
      </c>
      <c r="B25" s="1346"/>
      <c r="C25" s="1274">
        <f t="shared" ref="C25:H25" si="2">SUM(C9:C24)</f>
        <v>410000</v>
      </c>
      <c r="D25" s="1275">
        <f t="shared" si="2"/>
        <v>380912.16</v>
      </c>
      <c r="E25" s="1274">
        <f t="shared" si="2"/>
        <v>484000</v>
      </c>
      <c r="F25" s="1277">
        <f t="shared" si="2"/>
        <v>915671.97000000009</v>
      </c>
      <c r="G25" s="1275">
        <f t="shared" si="2"/>
        <v>280203.3</v>
      </c>
      <c r="H25" s="1063">
        <f t="shared" si="2"/>
        <v>490000</v>
      </c>
      <c r="I25" s="1347">
        <f t="shared" si="0"/>
        <v>101.2396694214876</v>
      </c>
    </row>
    <row r="26" spans="1:9" x14ac:dyDescent="0.2">
      <c r="A26" s="1252"/>
      <c r="B26" s="1252"/>
      <c r="C26" s="1348"/>
      <c r="D26" s="1349"/>
      <c r="E26" s="1348"/>
      <c r="F26" s="1349"/>
      <c r="G26" s="1349"/>
      <c r="H26" s="1348"/>
      <c r="I26" s="1350"/>
    </row>
    <row r="27" spans="1:9" ht="13.5" thickBot="1" x14ac:dyDescent="0.25">
      <c r="A27" s="1252"/>
      <c r="B27" s="1252"/>
      <c r="C27" s="1348"/>
      <c r="D27" s="1349"/>
      <c r="E27" s="1348"/>
      <c r="F27" s="1349"/>
      <c r="G27" s="1349"/>
      <c r="H27" s="1348"/>
      <c r="I27" s="1350"/>
    </row>
    <row r="28" spans="1:9" ht="60.75" thickBot="1" x14ac:dyDescent="0.25">
      <c r="A28" s="267">
        <v>10</v>
      </c>
      <c r="B28" s="268" t="s">
        <v>126</v>
      </c>
      <c r="C28" s="269">
        <v>50000</v>
      </c>
      <c r="D28" s="270">
        <v>62190.22</v>
      </c>
      <c r="E28" s="269">
        <v>40000</v>
      </c>
      <c r="F28" s="271">
        <v>63934.55</v>
      </c>
      <c r="G28" s="270">
        <v>21684.55</v>
      </c>
      <c r="H28" s="272">
        <f>+'Sumář příjmů a výdajů'!G36</f>
        <v>42610</v>
      </c>
      <c r="I28" s="273">
        <f>H28/E28*100</f>
        <v>106.52500000000001</v>
      </c>
    </row>
    <row r="437" spans="1:1" x14ac:dyDescent="0.2">
      <c r="A437" s="89"/>
    </row>
  </sheetData>
  <mergeCells count="7">
    <mergeCell ref="B7:B8"/>
    <mergeCell ref="C7:D7"/>
    <mergeCell ref="I7:I8"/>
    <mergeCell ref="A4:B4"/>
    <mergeCell ref="A7:A8"/>
    <mergeCell ref="E7:G7"/>
    <mergeCell ref="H7:H8"/>
  </mergeCells>
  <phoneticPr fontId="9" type="noConversion"/>
  <printOptions horizontalCentered="1"/>
  <pageMargins left="0.59055118110236227" right="0.59055118110236227" top="0.78740157480314965" bottom="0.78740157480314965" header="0.59055118110236227" footer="0.59055118110236227"/>
  <pageSetup paperSize="9" scale="75"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4"/>
  <sheetViews>
    <sheetView workbookViewId="0"/>
  </sheetViews>
  <sheetFormatPr defaultRowHeight="12.75" x14ac:dyDescent="0.2"/>
  <cols>
    <col min="1" max="1" width="43.7109375" style="47" customWidth="1"/>
    <col min="2" max="2" width="16.7109375" style="83" customWidth="1"/>
    <col min="3" max="3" width="16.7109375" style="52" customWidth="1"/>
    <col min="4" max="4" width="16.7109375" style="83" customWidth="1"/>
    <col min="5" max="6" width="16.7109375" style="52" customWidth="1"/>
    <col min="7" max="7" width="16.7109375" style="83" customWidth="1"/>
    <col min="8" max="8" width="10.7109375" style="68" customWidth="1"/>
    <col min="9" max="16384" width="9.140625" style="47"/>
  </cols>
  <sheetData>
    <row r="1" spans="1:8" s="31" customFormat="1" ht="15" customHeight="1" x14ac:dyDescent="0.35">
      <c r="A1" s="33"/>
      <c r="B1" s="90"/>
      <c r="C1" s="49"/>
      <c r="D1" s="90"/>
      <c r="E1" s="49"/>
      <c r="F1" s="49"/>
      <c r="G1" s="90"/>
      <c r="H1" s="34"/>
    </row>
    <row r="2" spans="1:8" s="31" customFormat="1" ht="24" customHeight="1" x14ac:dyDescent="0.35">
      <c r="A2" s="33" t="s">
        <v>150</v>
      </c>
      <c r="B2" s="90"/>
      <c r="C2" s="49"/>
      <c r="D2" s="90"/>
      <c r="E2" s="49"/>
      <c r="F2" s="49"/>
      <c r="G2" s="90"/>
      <c r="H2" s="34"/>
    </row>
    <row r="3" spans="1:8" ht="15" customHeight="1" x14ac:dyDescent="0.2"/>
    <row r="4" spans="1:8" ht="20.100000000000001" customHeight="1" x14ac:dyDescent="0.3">
      <c r="A4" s="82" t="s">
        <v>58</v>
      </c>
    </row>
    <row r="5" spans="1:8" ht="15" customHeight="1" x14ac:dyDescent="0.3">
      <c r="A5" s="82"/>
    </row>
    <row r="6" spans="1:8" ht="15" customHeight="1" thickBot="1" x14ac:dyDescent="0.3">
      <c r="B6" s="91"/>
      <c r="C6" s="56"/>
      <c r="D6" s="91"/>
      <c r="E6" s="56"/>
      <c r="F6" s="56"/>
      <c r="G6" s="91"/>
      <c r="H6" s="54" t="s">
        <v>0</v>
      </c>
    </row>
    <row r="7" spans="1:8" s="55" customFormat="1" ht="15.95" customHeight="1" x14ac:dyDescent="0.25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149</v>
      </c>
      <c r="H7" s="1371" t="s">
        <v>151</v>
      </c>
    </row>
    <row r="8" spans="1:8" s="55" customFormat="1" ht="27" customHeight="1" thickBot="1" x14ac:dyDescent="0.3">
      <c r="A8" s="1367"/>
      <c r="B8" s="1216" t="s">
        <v>169</v>
      </c>
      <c r="C8" s="1225" t="s">
        <v>170</v>
      </c>
      <c r="D8" s="1216" t="s">
        <v>169</v>
      </c>
      <c r="E8" s="1217" t="s">
        <v>470</v>
      </c>
      <c r="F8" s="1218" t="s">
        <v>471</v>
      </c>
      <c r="G8" s="1370"/>
      <c r="H8" s="1372"/>
    </row>
    <row r="9" spans="1:8" ht="20.25" customHeight="1" x14ac:dyDescent="0.25">
      <c r="A9" s="274" t="s">
        <v>31</v>
      </c>
      <c r="B9" s="275">
        <v>30000</v>
      </c>
      <c r="C9" s="276">
        <v>26718.67</v>
      </c>
      <c r="D9" s="275">
        <v>40000</v>
      </c>
      <c r="E9" s="277">
        <v>40000</v>
      </c>
      <c r="F9" s="276">
        <v>21548.43</v>
      </c>
      <c r="G9" s="278">
        <v>40000</v>
      </c>
      <c r="H9" s="279">
        <f>G9/D9*100</f>
        <v>100</v>
      </c>
    </row>
    <row r="10" spans="1:8" ht="20.25" customHeight="1" x14ac:dyDescent="0.25">
      <c r="A10" s="280" t="s">
        <v>130</v>
      </c>
      <c r="B10" s="281">
        <v>17000</v>
      </c>
      <c r="C10" s="282">
        <v>15665.44</v>
      </c>
      <c r="D10" s="281">
        <v>17000</v>
      </c>
      <c r="E10" s="283">
        <v>16980.73</v>
      </c>
      <c r="F10" s="282">
        <v>11563.23</v>
      </c>
      <c r="G10" s="284">
        <v>17000</v>
      </c>
      <c r="H10" s="285">
        <f t="shared" ref="H10:H15" si="0">G10/D10*100</f>
        <v>100</v>
      </c>
    </row>
    <row r="11" spans="1:8" ht="20.25" customHeight="1" x14ac:dyDescent="0.25">
      <c r="A11" s="280" t="s">
        <v>32</v>
      </c>
      <c r="B11" s="281">
        <v>2760</v>
      </c>
      <c r="C11" s="282">
        <v>2550.19</v>
      </c>
      <c r="D11" s="281">
        <v>2653</v>
      </c>
      <c r="E11" s="283">
        <v>2653</v>
      </c>
      <c r="F11" s="282">
        <v>2388.5</v>
      </c>
      <c r="G11" s="284">
        <v>2220</v>
      </c>
      <c r="H11" s="285">
        <f t="shared" si="0"/>
        <v>83.678854127402928</v>
      </c>
    </row>
    <row r="12" spans="1:8" ht="20.25" customHeight="1" x14ac:dyDescent="0.25">
      <c r="A12" s="280" t="s">
        <v>33</v>
      </c>
      <c r="B12" s="281">
        <v>820</v>
      </c>
      <c r="C12" s="282">
        <f>587.67+4.48</f>
        <v>592.15</v>
      </c>
      <c r="D12" s="281">
        <v>560</v>
      </c>
      <c r="E12" s="283">
        <v>560</v>
      </c>
      <c r="F12" s="282">
        <f>460.5-35.35</f>
        <v>425.15</v>
      </c>
      <c r="G12" s="284">
        <v>534</v>
      </c>
      <c r="H12" s="285">
        <f t="shared" si="0"/>
        <v>95.357142857142861</v>
      </c>
    </row>
    <row r="13" spans="1:8" ht="20.25" customHeight="1" x14ac:dyDescent="0.25">
      <c r="A13" s="286" t="s">
        <v>34</v>
      </c>
      <c r="B13" s="287">
        <v>0</v>
      </c>
      <c r="C13" s="288">
        <v>0</v>
      </c>
      <c r="D13" s="287">
        <v>3804</v>
      </c>
      <c r="E13" s="289">
        <v>3804</v>
      </c>
      <c r="F13" s="288">
        <v>1902</v>
      </c>
      <c r="G13" s="290">
        <v>3804</v>
      </c>
      <c r="H13" s="285">
        <f t="shared" si="0"/>
        <v>100</v>
      </c>
    </row>
    <row r="14" spans="1:8" ht="20.25" customHeight="1" thickBot="1" x14ac:dyDescent="0.3">
      <c r="A14" s="286" t="s">
        <v>39</v>
      </c>
      <c r="B14" s="291">
        <v>2500</v>
      </c>
      <c r="C14" s="292">
        <v>2183.2399999999998</v>
      </c>
      <c r="D14" s="291">
        <v>2500</v>
      </c>
      <c r="E14" s="293">
        <v>2500</v>
      </c>
      <c r="F14" s="292">
        <v>1291.26</v>
      </c>
      <c r="G14" s="294">
        <v>2500</v>
      </c>
      <c r="H14" s="295">
        <f t="shared" si="0"/>
        <v>100</v>
      </c>
    </row>
    <row r="15" spans="1:8" s="60" customFormat="1" ht="30" customHeight="1" thickBot="1" x14ac:dyDescent="0.3">
      <c r="A15" s="64" t="s">
        <v>57</v>
      </c>
      <c r="B15" s="92">
        <f t="shared" ref="B15:G15" si="1">SUM(B9:B14)</f>
        <v>53080</v>
      </c>
      <c r="C15" s="65">
        <f t="shared" si="1"/>
        <v>47709.69</v>
      </c>
      <c r="D15" s="92">
        <f t="shared" si="1"/>
        <v>66517</v>
      </c>
      <c r="E15" s="66">
        <f t="shared" si="1"/>
        <v>66497.73</v>
      </c>
      <c r="F15" s="65">
        <f>SUM(F9:F14)</f>
        <v>39118.570000000007</v>
      </c>
      <c r="G15" s="256">
        <f t="shared" si="1"/>
        <v>66058</v>
      </c>
      <c r="H15" s="93">
        <f t="shared" si="0"/>
        <v>99.309950839634979</v>
      </c>
    </row>
    <row r="16" spans="1:8" x14ac:dyDescent="0.2">
      <c r="A16" s="59"/>
      <c r="B16" s="94"/>
      <c r="C16" s="95"/>
      <c r="D16" s="94"/>
      <c r="E16" s="95"/>
      <c r="F16" s="95"/>
      <c r="G16" s="94"/>
    </row>
    <row r="17" spans="1:7" ht="15.75" customHeight="1" x14ac:dyDescent="0.2">
      <c r="A17" s="96"/>
      <c r="B17" s="97"/>
      <c r="C17" s="98"/>
      <c r="D17" s="97"/>
      <c r="E17" s="98"/>
      <c r="F17" s="98"/>
      <c r="G17" s="97"/>
    </row>
    <row r="18" spans="1:7" ht="15.75" x14ac:dyDescent="0.25">
      <c r="A18" s="63"/>
      <c r="B18" s="99"/>
      <c r="C18" s="100"/>
      <c r="D18" s="99"/>
      <c r="E18" s="100"/>
      <c r="F18" s="100"/>
      <c r="G18" s="99"/>
    </row>
    <row r="19" spans="1:7" ht="15.75" x14ac:dyDescent="0.25">
      <c r="A19" s="62"/>
      <c r="B19" s="101"/>
      <c r="C19" s="102"/>
      <c r="D19" s="101"/>
      <c r="E19" s="102"/>
      <c r="F19" s="102"/>
      <c r="G19" s="101"/>
    </row>
    <row r="20" spans="1:7" x14ac:dyDescent="0.2">
      <c r="A20" s="103"/>
      <c r="B20" s="97"/>
      <c r="C20" s="98"/>
      <c r="D20" s="97"/>
      <c r="E20" s="98"/>
      <c r="F20" s="98"/>
      <c r="G20" s="97"/>
    </row>
    <row r="21" spans="1:7" x14ac:dyDescent="0.2">
      <c r="A21" s="103"/>
      <c r="B21" s="97"/>
      <c r="C21" s="98"/>
      <c r="D21" s="97"/>
      <c r="E21" s="98"/>
      <c r="F21" s="98"/>
      <c r="G21" s="97"/>
    </row>
    <row r="22" spans="1:7" x14ac:dyDescent="0.2">
      <c r="A22" s="103"/>
      <c r="B22" s="97"/>
      <c r="C22" s="98"/>
      <c r="D22" s="97"/>
      <c r="E22" s="98"/>
      <c r="F22" s="98"/>
      <c r="G22" s="97"/>
    </row>
    <row r="23" spans="1:7" ht="15" x14ac:dyDescent="0.25">
      <c r="A23" s="104"/>
      <c r="B23" s="105"/>
      <c r="C23" s="106"/>
      <c r="D23" s="105"/>
      <c r="E23" s="106"/>
      <c r="F23" s="106"/>
      <c r="G23" s="105"/>
    </row>
    <row r="24" spans="1:7" ht="15" x14ac:dyDescent="0.25">
      <c r="A24" s="104"/>
      <c r="B24" s="105"/>
      <c r="C24" s="106"/>
      <c r="D24" s="105"/>
      <c r="E24" s="106"/>
      <c r="F24" s="106"/>
      <c r="G24" s="105"/>
    </row>
    <row r="25" spans="1:7" x14ac:dyDescent="0.2">
      <c r="A25" s="103"/>
      <c r="B25" s="97"/>
      <c r="C25" s="98"/>
      <c r="D25" s="97"/>
      <c r="E25" s="98"/>
      <c r="F25" s="98"/>
      <c r="G25" s="97"/>
    </row>
    <row r="26" spans="1:7" x14ac:dyDescent="0.2">
      <c r="A26" s="103"/>
      <c r="B26" s="94"/>
      <c r="C26" s="95"/>
      <c r="D26" s="94"/>
      <c r="E26" s="95"/>
      <c r="F26" s="95"/>
      <c r="G26" s="94"/>
    </row>
    <row r="27" spans="1:7" x14ac:dyDescent="0.2">
      <c r="A27" s="103"/>
      <c r="B27" s="97"/>
      <c r="C27" s="98"/>
      <c r="D27" s="97"/>
      <c r="E27" s="98"/>
      <c r="F27" s="98"/>
      <c r="G27" s="97"/>
    </row>
    <row r="28" spans="1:7" ht="15.75" x14ac:dyDescent="0.25">
      <c r="A28" s="62"/>
      <c r="B28" s="107"/>
      <c r="C28" s="108"/>
      <c r="D28" s="107"/>
      <c r="E28" s="108"/>
      <c r="F28" s="108"/>
      <c r="G28" s="107"/>
    </row>
    <row r="29" spans="1:7" ht="15.75" x14ac:dyDescent="0.25">
      <c r="A29" s="62"/>
      <c r="B29" s="107"/>
      <c r="C29" s="108"/>
      <c r="D29" s="107"/>
      <c r="E29" s="108"/>
      <c r="F29" s="108"/>
      <c r="G29" s="107"/>
    </row>
    <row r="30" spans="1:7" ht="15.75" x14ac:dyDescent="0.25">
      <c r="A30" s="62"/>
      <c r="B30" s="107"/>
      <c r="C30" s="108"/>
      <c r="D30" s="107"/>
      <c r="E30" s="108"/>
      <c r="F30" s="108"/>
      <c r="G30" s="107"/>
    </row>
    <row r="31" spans="1:7" ht="15.75" x14ac:dyDescent="0.25">
      <c r="A31" s="62"/>
      <c r="B31" s="107"/>
      <c r="C31" s="108"/>
      <c r="D31" s="107"/>
      <c r="E31" s="108"/>
      <c r="F31" s="108"/>
      <c r="G31" s="107"/>
    </row>
    <row r="32" spans="1:7" ht="15.75" x14ac:dyDescent="0.25">
      <c r="A32" s="62"/>
      <c r="B32" s="107"/>
      <c r="C32" s="108"/>
      <c r="D32" s="107"/>
      <c r="E32" s="108"/>
      <c r="F32" s="108"/>
      <c r="G32" s="107"/>
    </row>
    <row r="33" spans="1:7" ht="15.75" x14ac:dyDescent="0.25">
      <c r="A33" s="62"/>
      <c r="B33" s="107"/>
      <c r="C33" s="108"/>
      <c r="D33" s="107"/>
      <c r="E33" s="108"/>
      <c r="F33" s="108"/>
      <c r="G33" s="107"/>
    </row>
    <row r="34" spans="1:7" ht="15.75" x14ac:dyDescent="0.25">
      <c r="A34" s="62"/>
      <c r="B34" s="107"/>
      <c r="C34" s="108"/>
      <c r="D34" s="107"/>
      <c r="E34" s="108"/>
      <c r="F34" s="108"/>
      <c r="G34" s="107"/>
    </row>
    <row r="35" spans="1:7" ht="15.75" x14ac:dyDescent="0.25">
      <c r="A35" s="62"/>
      <c r="B35" s="97"/>
      <c r="C35" s="98"/>
      <c r="D35" s="97"/>
      <c r="E35" s="98"/>
      <c r="F35" s="98"/>
      <c r="G35" s="97"/>
    </row>
    <row r="36" spans="1:7" ht="15.75" x14ac:dyDescent="0.25">
      <c r="A36" s="103"/>
      <c r="B36" s="109"/>
      <c r="C36" s="110"/>
      <c r="D36" s="109"/>
      <c r="E36" s="110"/>
      <c r="F36" s="110"/>
      <c r="G36" s="109"/>
    </row>
    <row r="37" spans="1:7" ht="18.75" x14ac:dyDescent="0.3">
      <c r="A37" s="111"/>
      <c r="B37" s="94"/>
      <c r="C37" s="95"/>
      <c r="D37" s="94"/>
      <c r="E37" s="95"/>
      <c r="F37" s="95"/>
      <c r="G37" s="94"/>
    </row>
    <row r="38" spans="1:7" x14ac:dyDescent="0.2">
      <c r="A38" s="103"/>
      <c r="B38" s="94"/>
      <c r="C38" s="95"/>
      <c r="D38" s="94"/>
      <c r="E38" s="95"/>
      <c r="F38" s="95"/>
      <c r="G38" s="94"/>
    </row>
    <row r="39" spans="1:7" ht="18.75" x14ac:dyDescent="0.3">
      <c r="A39" s="111"/>
      <c r="B39" s="94"/>
      <c r="C39" s="95"/>
      <c r="D39" s="94"/>
      <c r="E39" s="95"/>
      <c r="F39" s="95"/>
      <c r="G39" s="94"/>
    </row>
    <row r="40" spans="1:7" x14ac:dyDescent="0.2">
      <c r="A40" s="103"/>
      <c r="B40" s="97"/>
      <c r="C40" s="98"/>
      <c r="D40" s="97"/>
      <c r="E40" s="98"/>
      <c r="F40" s="98"/>
      <c r="G40" s="97"/>
    </row>
    <row r="41" spans="1:7" ht="15.75" x14ac:dyDescent="0.25">
      <c r="A41" s="62"/>
      <c r="B41" s="99"/>
      <c r="C41" s="100"/>
      <c r="D41" s="99"/>
      <c r="E41" s="100"/>
      <c r="F41" s="100"/>
      <c r="G41" s="99"/>
    </row>
    <row r="42" spans="1:7" ht="15.75" x14ac:dyDescent="0.25">
      <c r="A42" s="62"/>
      <c r="B42" s="101"/>
      <c r="C42" s="102"/>
      <c r="D42" s="101"/>
      <c r="E42" s="102"/>
      <c r="F42" s="102"/>
      <c r="G42" s="101"/>
    </row>
    <row r="43" spans="1:7" x14ac:dyDescent="0.2">
      <c r="A43" s="103"/>
      <c r="B43" s="97"/>
      <c r="C43" s="98"/>
      <c r="D43" s="97"/>
      <c r="E43" s="98"/>
      <c r="F43" s="98"/>
      <c r="G43" s="97"/>
    </row>
    <row r="44" spans="1:7" x14ac:dyDescent="0.2">
      <c r="A44" s="103"/>
      <c r="B44" s="97"/>
      <c r="C44" s="98"/>
      <c r="D44" s="97"/>
      <c r="E44" s="98"/>
      <c r="F44" s="98"/>
      <c r="G44" s="97"/>
    </row>
    <row r="45" spans="1:7" x14ac:dyDescent="0.2">
      <c r="A45" s="103"/>
      <c r="B45" s="97"/>
      <c r="C45" s="98"/>
      <c r="D45" s="97"/>
      <c r="E45" s="98"/>
      <c r="F45" s="98"/>
      <c r="G45" s="97"/>
    </row>
    <row r="46" spans="1:7" ht="15" x14ac:dyDescent="0.25">
      <c r="A46" s="104"/>
      <c r="B46" s="105"/>
      <c r="C46" s="106"/>
      <c r="D46" s="105"/>
      <c r="E46" s="106"/>
      <c r="F46" s="106"/>
      <c r="G46" s="105"/>
    </row>
    <row r="47" spans="1:7" ht="15" x14ac:dyDescent="0.25">
      <c r="A47" s="104"/>
      <c r="B47" s="105"/>
      <c r="C47" s="106"/>
      <c r="D47" s="105"/>
      <c r="E47" s="106"/>
      <c r="F47" s="106"/>
      <c r="G47" s="105"/>
    </row>
    <row r="48" spans="1:7" x14ac:dyDescent="0.2">
      <c r="A48" s="103"/>
      <c r="B48" s="97"/>
      <c r="C48" s="98"/>
      <c r="D48" s="97"/>
      <c r="E48" s="98"/>
      <c r="F48" s="98"/>
      <c r="G48" s="97"/>
    </row>
    <row r="49" spans="1:7" x14ac:dyDescent="0.2">
      <c r="A49" s="103"/>
      <c r="B49" s="94"/>
      <c r="C49" s="95"/>
      <c r="D49" s="94"/>
      <c r="E49" s="95"/>
      <c r="F49" s="95"/>
      <c r="G49" s="94"/>
    </row>
    <row r="50" spans="1:7" x14ac:dyDescent="0.2">
      <c r="A50" s="103"/>
      <c r="B50" s="97"/>
      <c r="C50" s="98"/>
      <c r="D50" s="97"/>
      <c r="E50" s="98"/>
      <c r="F50" s="98"/>
      <c r="G50" s="97"/>
    </row>
    <row r="51" spans="1:7" ht="15.75" x14ac:dyDescent="0.25">
      <c r="A51" s="62"/>
      <c r="B51" s="107"/>
      <c r="C51" s="108"/>
      <c r="D51" s="107"/>
      <c r="E51" s="108"/>
      <c r="F51" s="108"/>
      <c r="G51" s="107"/>
    </row>
    <row r="52" spans="1:7" ht="15.75" x14ac:dyDescent="0.25">
      <c r="A52" s="62"/>
      <c r="B52" s="107"/>
      <c r="C52" s="108"/>
      <c r="D52" s="107"/>
      <c r="E52" s="108"/>
      <c r="F52" s="108"/>
      <c r="G52" s="107"/>
    </row>
    <row r="53" spans="1:7" ht="15.75" x14ac:dyDescent="0.25">
      <c r="A53" s="62"/>
      <c r="B53" s="97"/>
      <c r="C53" s="98"/>
      <c r="D53" s="97"/>
      <c r="E53" s="98"/>
      <c r="F53" s="98"/>
      <c r="G53" s="97"/>
    </row>
    <row r="54" spans="1:7" x14ac:dyDescent="0.2">
      <c r="A54" s="103"/>
      <c r="B54" s="94"/>
      <c r="C54" s="95"/>
      <c r="D54" s="94"/>
      <c r="E54" s="95"/>
      <c r="F54" s="95"/>
      <c r="G54" s="94"/>
    </row>
    <row r="55" spans="1:7" x14ac:dyDescent="0.2">
      <c r="A55" s="103"/>
      <c r="B55" s="94"/>
      <c r="C55" s="95"/>
      <c r="D55" s="94"/>
      <c r="E55" s="95"/>
      <c r="F55" s="95"/>
      <c r="G55" s="94"/>
    </row>
    <row r="56" spans="1:7" x14ac:dyDescent="0.2">
      <c r="A56" s="103"/>
      <c r="B56" s="94"/>
      <c r="C56" s="95"/>
      <c r="D56" s="94"/>
      <c r="E56" s="95"/>
      <c r="F56" s="95"/>
      <c r="G56" s="94"/>
    </row>
    <row r="57" spans="1:7" x14ac:dyDescent="0.2">
      <c r="A57" s="103"/>
      <c r="B57" s="94"/>
      <c r="C57" s="95"/>
      <c r="D57" s="94"/>
      <c r="E57" s="95"/>
      <c r="F57" s="95"/>
      <c r="G57" s="94"/>
    </row>
    <row r="58" spans="1:7" x14ac:dyDescent="0.2">
      <c r="A58" s="103"/>
      <c r="B58" s="94"/>
      <c r="C58" s="95"/>
      <c r="D58" s="94"/>
      <c r="E58" s="95"/>
      <c r="F58" s="95"/>
      <c r="G58" s="94"/>
    </row>
    <row r="59" spans="1:7" x14ac:dyDescent="0.2">
      <c r="A59" s="103"/>
      <c r="B59" s="94"/>
      <c r="C59" s="95"/>
      <c r="D59" s="94"/>
      <c r="E59" s="95"/>
      <c r="F59" s="95"/>
      <c r="G59" s="94"/>
    </row>
    <row r="60" spans="1:7" x14ac:dyDescent="0.2">
      <c r="A60" s="103"/>
      <c r="B60" s="94"/>
      <c r="C60" s="95"/>
      <c r="D60" s="94"/>
      <c r="E60" s="95"/>
      <c r="F60" s="95"/>
      <c r="G60" s="94"/>
    </row>
    <row r="61" spans="1:7" x14ac:dyDescent="0.2">
      <c r="A61" s="103"/>
      <c r="B61" s="94"/>
      <c r="C61" s="95"/>
      <c r="D61" s="94"/>
      <c r="E61" s="95"/>
      <c r="F61" s="95"/>
      <c r="G61" s="94"/>
    </row>
    <row r="62" spans="1:7" ht="15" x14ac:dyDescent="0.25">
      <c r="A62" s="104"/>
      <c r="B62" s="112"/>
      <c r="C62" s="61"/>
      <c r="D62" s="112"/>
      <c r="E62" s="61"/>
      <c r="F62" s="61"/>
      <c r="G62" s="112"/>
    </row>
    <row r="63" spans="1:7" x14ac:dyDescent="0.2">
      <c r="A63" s="103"/>
      <c r="B63" s="94"/>
      <c r="C63" s="95"/>
      <c r="D63" s="94"/>
      <c r="E63" s="95"/>
      <c r="F63" s="95"/>
      <c r="G63" s="94"/>
    </row>
    <row r="64" spans="1:7" x14ac:dyDescent="0.2">
      <c r="A64" s="103"/>
      <c r="B64" s="94"/>
      <c r="C64" s="95"/>
      <c r="D64" s="94"/>
      <c r="E64" s="95"/>
      <c r="F64" s="95"/>
      <c r="G64" s="94"/>
    </row>
    <row r="65" spans="1:7" x14ac:dyDescent="0.2">
      <c r="A65" s="103"/>
      <c r="B65" s="94"/>
      <c r="C65" s="95"/>
      <c r="D65" s="94"/>
      <c r="E65" s="95"/>
      <c r="F65" s="95"/>
      <c r="G65" s="94"/>
    </row>
    <row r="66" spans="1:7" x14ac:dyDescent="0.2">
      <c r="A66" s="103"/>
      <c r="B66" s="94"/>
      <c r="C66" s="95"/>
      <c r="D66" s="94"/>
      <c r="E66" s="95"/>
      <c r="F66" s="95"/>
      <c r="G66" s="94"/>
    </row>
    <row r="67" spans="1:7" ht="15.75" x14ac:dyDescent="0.25">
      <c r="A67" s="62"/>
      <c r="B67" s="109"/>
      <c r="C67" s="110"/>
      <c r="D67" s="109"/>
      <c r="E67" s="110"/>
      <c r="F67" s="110"/>
      <c r="G67" s="109"/>
    </row>
    <row r="68" spans="1:7" ht="15.75" x14ac:dyDescent="0.25">
      <c r="A68" s="62"/>
      <c r="B68" s="109"/>
      <c r="C68" s="110"/>
      <c r="D68" s="109"/>
      <c r="E68" s="110"/>
      <c r="F68" s="110"/>
      <c r="G68" s="109"/>
    </row>
    <row r="69" spans="1:7" ht="15.75" x14ac:dyDescent="0.25">
      <c r="A69" s="62"/>
      <c r="B69" s="109"/>
      <c r="C69" s="110"/>
      <c r="D69" s="109"/>
      <c r="E69" s="110"/>
      <c r="F69" s="110"/>
      <c r="G69" s="109"/>
    </row>
    <row r="70" spans="1:7" x14ac:dyDescent="0.2">
      <c r="A70" s="103"/>
      <c r="B70" s="94"/>
      <c r="C70" s="95"/>
      <c r="D70" s="94"/>
      <c r="E70" s="95"/>
      <c r="F70" s="95"/>
      <c r="G70" s="94"/>
    </row>
    <row r="71" spans="1:7" x14ac:dyDescent="0.2">
      <c r="A71" s="103"/>
      <c r="B71" s="113"/>
      <c r="C71" s="114"/>
      <c r="D71" s="113"/>
      <c r="E71" s="114"/>
      <c r="F71" s="114"/>
      <c r="G71" s="113"/>
    </row>
    <row r="72" spans="1:7" x14ac:dyDescent="0.2">
      <c r="A72" s="103"/>
      <c r="B72" s="94"/>
      <c r="C72" s="95"/>
      <c r="D72" s="94"/>
      <c r="E72" s="95"/>
      <c r="F72" s="95"/>
      <c r="G72" s="94"/>
    </row>
    <row r="73" spans="1:7" ht="15.75" x14ac:dyDescent="0.25">
      <c r="A73" s="62"/>
      <c r="B73" s="109"/>
      <c r="C73" s="110"/>
      <c r="D73" s="109"/>
      <c r="E73" s="110"/>
      <c r="F73" s="110"/>
      <c r="G73" s="109"/>
    </row>
    <row r="74" spans="1:7" x14ac:dyDescent="0.2">
      <c r="A74" s="115"/>
      <c r="B74" s="94"/>
      <c r="C74" s="95"/>
      <c r="D74" s="94"/>
      <c r="E74" s="95"/>
      <c r="F74" s="95"/>
      <c r="G74" s="94"/>
    </row>
    <row r="75" spans="1:7" ht="15.75" x14ac:dyDescent="0.25">
      <c r="A75" s="62"/>
      <c r="B75" s="109"/>
      <c r="C75" s="110"/>
      <c r="D75" s="109"/>
      <c r="E75" s="110"/>
      <c r="F75" s="110"/>
      <c r="G75" s="109"/>
    </row>
    <row r="76" spans="1:7" ht="15.75" x14ac:dyDescent="0.25">
      <c r="A76" s="62"/>
      <c r="B76" s="109"/>
      <c r="C76" s="110"/>
      <c r="D76" s="109"/>
      <c r="E76" s="110"/>
      <c r="F76" s="110"/>
      <c r="G76" s="109"/>
    </row>
    <row r="77" spans="1:7" ht="15.75" x14ac:dyDescent="0.25">
      <c r="A77" s="62"/>
      <c r="B77" s="109"/>
      <c r="C77" s="110"/>
      <c r="D77" s="109"/>
      <c r="E77" s="110"/>
      <c r="F77" s="110"/>
      <c r="G77" s="109"/>
    </row>
    <row r="78" spans="1:7" ht="15.75" x14ac:dyDescent="0.25">
      <c r="A78" s="62"/>
      <c r="B78" s="109"/>
      <c r="C78" s="110"/>
      <c r="D78" s="109"/>
      <c r="E78" s="110"/>
      <c r="F78" s="110"/>
      <c r="G78" s="109"/>
    </row>
    <row r="434" spans="1:9" x14ac:dyDescent="0.2">
      <c r="A434" s="89"/>
      <c r="I434" s="89"/>
    </row>
  </sheetData>
  <mergeCells count="5">
    <mergeCell ref="A7:A8"/>
    <mergeCell ref="B7:C7"/>
    <mergeCell ref="D7:F7"/>
    <mergeCell ref="G7:G8"/>
    <mergeCell ref="H7:H8"/>
  </mergeCells>
  <phoneticPr fontId="9" type="noConversion"/>
  <printOptions horizontalCentered="1"/>
  <pageMargins left="0.59055118110236227" right="0.59055118110236227" top="0.78740157480314965" bottom="0.78740157480314965" header="0.59055118110236227" footer="0.59055118110236227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1"/>
  <sheetViews>
    <sheetView workbookViewId="0"/>
  </sheetViews>
  <sheetFormatPr defaultRowHeight="12.75" x14ac:dyDescent="0.2"/>
  <cols>
    <col min="1" max="1" width="70.7109375" style="47" customWidth="1"/>
    <col min="2" max="2" width="16.7109375" style="83" customWidth="1"/>
    <col min="3" max="3" width="16.7109375" style="52" customWidth="1"/>
    <col min="4" max="4" width="16.7109375" style="83" customWidth="1"/>
    <col min="5" max="6" width="16.7109375" style="52" customWidth="1"/>
    <col min="7" max="7" width="16.7109375" style="83" customWidth="1"/>
    <col min="8" max="8" width="10.7109375" style="68" customWidth="1"/>
    <col min="9" max="16384" width="9.140625" style="47"/>
  </cols>
  <sheetData>
    <row r="1" spans="1:8" s="31" customFormat="1" ht="15" customHeight="1" x14ac:dyDescent="0.35">
      <c r="A1" s="33"/>
      <c r="B1" s="90"/>
      <c r="C1" s="49"/>
      <c r="D1" s="90"/>
      <c r="E1" s="49"/>
      <c r="F1" s="49"/>
      <c r="G1" s="90"/>
      <c r="H1" s="34"/>
    </row>
    <row r="2" spans="1:8" s="31" customFormat="1" ht="24" customHeight="1" x14ac:dyDescent="0.35">
      <c r="A2" s="33" t="s">
        <v>150</v>
      </c>
      <c r="B2" s="90"/>
      <c r="C2" s="49"/>
      <c r="D2" s="90"/>
      <c r="E2" s="49"/>
      <c r="F2" s="49"/>
      <c r="G2" s="90"/>
      <c r="H2" s="34"/>
    </row>
    <row r="3" spans="1:8" ht="15" customHeight="1" x14ac:dyDescent="0.2"/>
    <row r="4" spans="1:8" ht="15" customHeight="1" x14ac:dyDescent="0.2"/>
    <row r="5" spans="1:8" ht="20.100000000000001" customHeight="1" x14ac:dyDescent="0.3">
      <c r="A5" s="82" t="s">
        <v>56</v>
      </c>
    </row>
    <row r="6" spans="1:8" ht="15" customHeight="1" thickBot="1" x14ac:dyDescent="0.3">
      <c r="B6" s="97"/>
      <c r="C6" s="98"/>
      <c r="D6" s="97"/>
      <c r="E6" s="98"/>
      <c r="F6" s="98"/>
      <c r="G6" s="97"/>
      <c r="H6" s="54" t="s">
        <v>0</v>
      </c>
    </row>
    <row r="7" spans="1:8" s="55" customFormat="1" ht="15.95" customHeight="1" x14ac:dyDescent="0.25">
      <c r="A7" s="1366" t="s">
        <v>1</v>
      </c>
      <c r="B7" s="1364" t="s">
        <v>164</v>
      </c>
      <c r="C7" s="1365"/>
      <c r="D7" s="1364" t="s">
        <v>132</v>
      </c>
      <c r="E7" s="1368"/>
      <c r="F7" s="1365"/>
      <c r="G7" s="1369" t="s">
        <v>149</v>
      </c>
      <c r="H7" s="1371" t="s">
        <v>151</v>
      </c>
    </row>
    <row r="8" spans="1:8" s="55" customFormat="1" ht="27" customHeight="1" thickBot="1" x14ac:dyDescent="0.3">
      <c r="A8" s="1367"/>
      <c r="B8" s="1216" t="s">
        <v>169</v>
      </c>
      <c r="C8" s="1225" t="s">
        <v>170</v>
      </c>
      <c r="D8" s="1216" t="s">
        <v>169</v>
      </c>
      <c r="E8" s="1217" t="s">
        <v>470</v>
      </c>
      <c r="F8" s="1218" t="s">
        <v>471</v>
      </c>
      <c r="G8" s="1370"/>
      <c r="H8" s="1372"/>
    </row>
    <row r="9" spans="1:8" ht="15" customHeight="1" x14ac:dyDescent="0.25">
      <c r="A9" s="274" t="s">
        <v>55</v>
      </c>
      <c r="B9" s="275">
        <v>72494</v>
      </c>
      <c r="C9" s="276">
        <v>71193.399999999994</v>
      </c>
      <c r="D9" s="275">
        <v>72462</v>
      </c>
      <c r="E9" s="277">
        <v>72462</v>
      </c>
      <c r="F9" s="276">
        <v>52812.23</v>
      </c>
      <c r="G9" s="278">
        <v>72424</v>
      </c>
      <c r="H9" s="279">
        <f>G9/D9*100</f>
        <v>99.947558720432781</v>
      </c>
    </row>
    <row r="10" spans="1:8" ht="15" customHeight="1" x14ac:dyDescent="0.25">
      <c r="A10" s="280" t="s">
        <v>54</v>
      </c>
      <c r="B10" s="281">
        <v>17344</v>
      </c>
      <c r="C10" s="282">
        <v>17054.330000000002</v>
      </c>
      <c r="D10" s="281">
        <v>17337</v>
      </c>
      <c r="E10" s="283">
        <v>17337</v>
      </c>
      <c r="F10" s="282">
        <v>12872.79</v>
      </c>
      <c r="G10" s="284">
        <v>17328</v>
      </c>
      <c r="H10" s="285">
        <f t="shared" ref="H10:H12" si="0">G10/D10*100</f>
        <v>99.948087904481739</v>
      </c>
    </row>
    <row r="11" spans="1:8" ht="15" customHeight="1" thickBot="1" x14ac:dyDescent="0.3">
      <c r="A11" s="286" t="s">
        <v>53</v>
      </c>
      <c r="B11" s="291">
        <v>101981</v>
      </c>
      <c r="C11" s="292">
        <v>97284.7</v>
      </c>
      <c r="D11" s="291">
        <v>101872</v>
      </c>
      <c r="E11" s="293">
        <v>101872</v>
      </c>
      <c r="F11" s="292">
        <v>73925.13</v>
      </c>
      <c r="G11" s="294">
        <v>101717</v>
      </c>
      <c r="H11" s="295">
        <f t="shared" si="0"/>
        <v>99.847848280194754</v>
      </c>
    </row>
    <row r="12" spans="1:8" s="60" customFormat="1" ht="30" customHeight="1" thickBot="1" x14ac:dyDescent="0.3">
      <c r="A12" s="64" t="s">
        <v>52</v>
      </c>
      <c r="B12" s="92">
        <f t="shared" ref="B12:D12" si="1">SUM(B9:B11)</f>
        <v>191819</v>
      </c>
      <c r="C12" s="65">
        <f t="shared" si="1"/>
        <v>185532.43</v>
      </c>
      <c r="D12" s="92">
        <f t="shared" si="1"/>
        <v>191671</v>
      </c>
      <c r="E12" s="66">
        <f>SUM(E9:E11)</f>
        <v>191671</v>
      </c>
      <c r="F12" s="65">
        <f t="shared" ref="F12:G12" si="2">SUM(F9:F11)</f>
        <v>139610.15000000002</v>
      </c>
      <c r="G12" s="256">
        <f t="shared" si="2"/>
        <v>191469</v>
      </c>
      <c r="H12" s="93">
        <f t="shared" si="0"/>
        <v>99.894611078358224</v>
      </c>
    </row>
    <row r="13" spans="1:8" ht="15" customHeight="1" x14ac:dyDescent="0.2">
      <c r="A13" s="59"/>
      <c r="B13" s="113"/>
      <c r="C13" s="114"/>
      <c r="D13" s="113"/>
      <c r="E13" s="114"/>
      <c r="F13" s="114"/>
      <c r="G13" s="113"/>
    </row>
    <row r="14" spans="1:8" ht="15" customHeight="1" x14ac:dyDescent="0.2">
      <c r="A14" s="96"/>
      <c r="B14" s="116"/>
      <c r="C14" s="117"/>
      <c r="D14" s="116"/>
      <c r="E14" s="117"/>
      <c r="F14" s="117"/>
      <c r="G14" s="116"/>
    </row>
    <row r="15" spans="1:8" ht="20.100000000000001" customHeight="1" x14ac:dyDescent="0.3">
      <c r="A15" s="82" t="s">
        <v>51</v>
      </c>
      <c r="B15" s="99"/>
      <c r="C15" s="100"/>
      <c r="D15" s="99"/>
      <c r="E15" s="100"/>
      <c r="F15" s="100"/>
      <c r="G15" s="99"/>
    </row>
    <row r="16" spans="1:8" ht="15" customHeight="1" thickBot="1" x14ac:dyDescent="0.3">
      <c r="B16" s="116"/>
      <c r="C16" s="117"/>
      <c r="D16" s="116"/>
      <c r="E16" s="117"/>
      <c r="F16" s="117"/>
      <c r="G16" s="116"/>
      <c r="H16" s="54" t="s">
        <v>0</v>
      </c>
    </row>
    <row r="17" spans="1:9" ht="15.95" customHeight="1" x14ac:dyDescent="0.2">
      <c r="A17" s="1366" t="s">
        <v>1</v>
      </c>
      <c r="B17" s="1364" t="s">
        <v>164</v>
      </c>
      <c r="C17" s="1365"/>
      <c r="D17" s="1364" t="s">
        <v>132</v>
      </c>
      <c r="E17" s="1368"/>
      <c r="F17" s="1365"/>
      <c r="G17" s="1369" t="s">
        <v>149</v>
      </c>
      <c r="H17" s="1371" t="s">
        <v>151</v>
      </c>
    </row>
    <row r="18" spans="1:9" ht="27" customHeight="1" thickBot="1" x14ac:dyDescent="0.25">
      <c r="A18" s="1367"/>
      <c r="B18" s="1216" t="s">
        <v>169</v>
      </c>
      <c r="C18" s="1225" t="s">
        <v>170</v>
      </c>
      <c r="D18" s="1216" t="s">
        <v>169</v>
      </c>
      <c r="E18" s="1217" t="s">
        <v>470</v>
      </c>
      <c r="F18" s="1218" t="s">
        <v>471</v>
      </c>
      <c r="G18" s="1370"/>
      <c r="H18" s="1372"/>
    </row>
    <row r="19" spans="1:9" s="152" customFormat="1" ht="15" customHeight="1" x14ac:dyDescent="0.2">
      <c r="A19" s="296" t="s">
        <v>16</v>
      </c>
      <c r="B19" s="297">
        <f>'Sumář příjmů a výdajů'!B60</f>
        <v>239487</v>
      </c>
      <c r="C19" s="298">
        <v>239486.82</v>
      </c>
      <c r="D19" s="297">
        <v>239487</v>
      </c>
      <c r="E19" s="299">
        <v>239487</v>
      </c>
      <c r="F19" s="300">
        <f>+'Sumář příjmů a výdajů'!F60</f>
        <v>179615.11</v>
      </c>
      <c r="G19" s="301">
        <v>239487</v>
      </c>
      <c r="H19" s="302">
        <f>G19/D19*100</f>
        <v>100</v>
      </c>
    </row>
    <row r="20" spans="1:9" s="152" customFormat="1" ht="15" customHeight="1" thickBot="1" x14ac:dyDescent="0.25">
      <c r="A20" s="303" t="s">
        <v>50</v>
      </c>
      <c r="B20" s="304">
        <f>'Sumář příjmů a výdajů'!B51</f>
        <v>36418</v>
      </c>
      <c r="C20" s="305">
        <v>23155.200000000001</v>
      </c>
      <c r="D20" s="304">
        <v>61000</v>
      </c>
      <c r="E20" s="306">
        <f>+'Sumář příjmů a výdajů'!E51</f>
        <v>49205</v>
      </c>
      <c r="F20" s="1215">
        <f>+'Sumář příjmů a výdajů'!F51</f>
        <v>32198.21</v>
      </c>
      <c r="G20" s="308">
        <v>54000</v>
      </c>
      <c r="H20" s="309">
        <f t="shared" ref="H20:H21" si="3">G20/D20*100</f>
        <v>88.52459016393442</v>
      </c>
      <c r="I20" s="722"/>
    </row>
    <row r="21" spans="1:9" s="253" customFormat="1" ht="30" customHeight="1" thickBot="1" x14ac:dyDescent="0.3">
      <c r="A21" s="669" t="s">
        <v>67</v>
      </c>
      <c r="B21" s="670">
        <f t="shared" ref="B21:G21" si="4">SUM(B19:B20)</f>
        <v>275905</v>
      </c>
      <c r="C21" s="671">
        <f t="shared" si="4"/>
        <v>262642.02</v>
      </c>
      <c r="D21" s="670">
        <f t="shared" si="4"/>
        <v>300487</v>
      </c>
      <c r="E21" s="672">
        <f t="shared" si="4"/>
        <v>288692</v>
      </c>
      <c r="F21" s="671">
        <f t="shared" si="4"/>
        <v>211813.31999999998</v>
      </c>
      <c r="G21" s="673">
        <f t="shared" si="4"/>
        <v>293487</v>
      </c>
      <c r="H21" s="674">
        <f t="shared" si="3"/>
        <v>97.670448305583932</v>
      </c>
    </row>
    <row r="22" spans="1:9" ht="15" customHeight="1" x14ac:dyDescent="0.2">
      <c r="A22" s="103"/>
      <c r="B22" s="94"/>
      <c r="C22" s="95"/>
      <c r="D22" s="94"/>
      <c r="E22" s="95"/>
      <c r="F22" s="95"/>
      <c r="G22" s="94"/>
    </row>
    <row r="23" spans="1:9" ht="15" customHeight="1" x14ac:dyDescent="0.2">
      <c r="A23" s="103"/>
      <c r="B23" s="97"/>
      <c r="C23" s="98"/>
      <c r="D23" s="97"/>
      <c r="E23" s="98"/>
      <c r="F23" s="98"/>
      <c r="G23" s="97"/>
    </row>
    <row r="24" spans="1:9" ht="20.100000000000001" customHeight="1" x14ac:dyDescent="0.3">
      <c r="A24" s="82" t="s">
        <v>313</v>
      </c>
      <c r="B24" s="99"/>
      <c r="C24" s="100"/>
      <c r="D24" s="99"/>
      <c r="E24" s="100"/>
      <c r="F24" s="100"/>
      <c r="G24" s="99"/>
    </row>
    <row r="25" spans="1:9" ht="15" customHeight="1" thickBot="1" x14ac:dyDescent="0.3">
      <c r="B25" s="116"/>
      <c r="C25" s="117"/>
      <c r="D25" s="116"/>
      <c r="E25" s="117"/>
      <c r="F25" s="117"/>
      <c r="G25" s="116"/>
      <c r="H25" s="54" t="s">
        <v>0</v>
      </c>
    </row>
    <row r="26" spans="1:9" ht="15.75" customHeight="1" x14ac:dyDescent="0.2">
      <c r="A26" s="1366" t="s">
        <v>1</v>
      </c>
      <c r="B26" s="1364" t="s">
        <v>164</v>
      </c>
      <c r="C26" s="1365"/>
      <c r="D26" s="1364" t="s">
        <v>132</v>
      </c>
      <c r="E26" s="1368"/>
      <c r="F26" s="1365"/>
      <c r="G26" s="1369" t="s">
        <v>149</v>
      </c>
      <c r="H26" s="1371" t="s">
        <v>151</v>
      </c>
    </row>
    <row r="27" spans="1:9" ht="30.75" thickBot="1" x14ac:dyDescent="0.25">
      <c r="A27" s="1367"/>
      <c r="B27" s="1216" t="s">
        <v>169</v>
      </c>
      <c r="C27" s="1225" t="s">
        <v>170</v>
      </c>
      <c r="D27" s="1216" t="s">
        <v>169</v>
      </c>
      <c r="E27" s="1217" t="s">
        <v>470</v>
      </c>
      <c r="F27" s="1218" t="s">
        <v>471</v>
      </c>
      <c r="G27" s="1370"/>
      <c r="H27" s="1372"/>
    </row>
    <row r="28" spans="1:9" s="152" customFormat="1" ht="15" customHeight="1" x14ac:dyDescent="0.2">
      <c r="A28" s="296" t="s">
        <v>16</v>
      </c>
      <c r="B28" s="297">
        <v>0</v>
      </c>
      <c r="C28" s="298">
        <v>0</v>
      </c>
      <c r="D28" s="297">
        <v>0</v>
      </c>
      <c r="E28" s="299">
        <v>0</v>
      </c>
      <c r="F28" s="300">
        <v>0</v>
      </c>
      <c r="G28" s="301">
        <v>0</v>
      </c>
      <c r="H28" s="926" t="s">
        <v>71</v>
      </c>
    </row>
    <row r="29" spans="1:9" s="152" customFormat="1" ht="15" customHeight="1" thickBot="1" x14ac:dyDescent="0.25">
      <c r="A29" s="303" t="s">
        <v>50</v>
      </c>
      <c r="B29" s="304">
        <v>0</v>
      </c>
      <c r="C29" s="305">
        <v>0</v>
      </c>
      <c r="D29" s="304">
        <v>0</v>
      </c>
      <c r="E29" s="306">
        <v>0</v>
      </c>
      <c r="F29" s="307">
        <v>0</v>
      </c>
      <c r="G29" s="308">
        <v>32000</v>
      </c>
      <c r="H29" s="927" t="s">
        <v>71</v>
      </c>
      <c r="I29" s="722"/>
    </row>
    <row r="30" spans="1:9" s="253" customFormat="1" ht="30" customHeight="1" thickBot="1" x14ac:dyDescent="0.3">
      <c r="A30" s="669" t="s">
        <v>67</v>
      </c>
      <c r="B30" s="670">
        <f t="shared" ref="B30:G30" si="5">SUM(B28:B29)</f>
        <v>0</v>
      </c>
      <c r="C30" s="671">
        <f t="shared" si="5"/>
        <v>0</v>
      </c>
      <c r="D30" s="670">
        <f t="shared" si="5"/>
        <v>0</v>
      </c>
      <c r="E30" s="672">
        <f t="shared" si="5"/>
        <v>0</v>
      </c>
      <c r="F30" s="671">
        <f t="shared" si="5"/>
        <v>0</v>
      </c>
      <c r="G30" s="673">
        <f t="shared" si="5"/>
        <v>32000</v>
      </c>
      <c r="H30" s="934" t="s">
        <v>159</v>
      </c>
    </row>
    <row r="31" spans="1:9" ht="15.75" x14ac:dyDescent="0.25">
      <c r="A31" s="62"/>
      <c r="B31" s="97"/>
      <c r="C31" s="98"/>
      <c r="D31" s="97"/>
      <c r="E31" s="98"/>
      <c r="F31" s="98"/>
      <c r="G31" s="97"/>
    </row>
    <row r="32" spans="1:9" ht="15.75" x14ac:dyDescent="0.25">
      <c r="A32" s="103"/>
      <c r="B32" s="109"/>
      <c r="C32" s="110"/>
      <c r="D32" s="109"/>
      <c r="E32" s="110"/>
      <c r="F32" s="110"/>
      <c r="G32" s="109"/>
    </row>
    <row r="33" spans="1:7" ht="18.75" x14ac:dyDescent="0.3">
      <c r="A33" s="111"/>
      <c r="B33" s="94"/>
      <c r="C33" s="95"/>
      <c r="D33" s="94"/>
      <c r="E33" s="95"/>
      <c r="F33" s="95"/>
      <c r="G33" s="94"/>
    </row>
    <row r="34" spans="1:7" x14ac:dyDescent="0.2">
      <c r="A34" s="103"/>
      <c r="B34" s="94"/>
      <c r="C34" s="95"/>
      <c r="D34" s="94"/>
      <c r="E34" s="95"/>
      <c r="F34" s="95"/>
      <c r="G34" s="94"/>
    </row>
    <row r="35" spans="1:7" ht="18.75" x14ac:dyDescent="0.3">
      <c r="A35" s="111"/>
      <c r="B35" s="94"/>
      <c r="C35" s="95"/>
      <c r="D35" s="94"/>
      <c r="E35" s="95"/>
      <c r="F35" s="95"/>
      <c r="G35" s="94"/>
    </row>
    <row r="36" spans="1:7" x14ac:dyDescent="0.2">
      <c r="A36" s="103"/>
      <c r="B36" s="97"/>
      <c r="C36" s="98"/>
      <c r="D36" s="97"/>
      <c r="E36" s="98"/>
      <c r="F36" s="98"/>
      <c r="G36" s="97"/>
    </row>
    <row r="37" spans="1:7" ht="15.75" x14ac:dyDescent="0.25">
      <c r="A37" s="62"/>
      <c r="B37" s="99"/>
      <c r="C37" s="100"/>
      <c r="D37" s="99"/>
      <c r="E37" s="100"/>
      <c r="F37" s="100"/>
      <c r="G37" s="99"/>
    </row>
    <row r="38" spans="1:7" ht="15.75" x14ac:dyDescent="0.25">
      <c r="A38" s="62"/>
      <c r="B38" s="101"/>
      <c r="C38" s="102"/>
      <c r="D38" s="101"/>
      <c r="E38" s="102"/>
      <c r="F38" s="102"/>
      <c r="G38" s="101"/>
    </row>
    <row r="39" spans="1:7" x14ac:dyDescent="0.2">
      <c r="A39" s="103"/>
      <c r="B39" s="97"/>
      <c r="C39" s="98"/>
      <c r="D39" s="97"/>
      <c r="E39" s="98"/>
      <c r="F39" s="98"/>
      <c r="G39" s="97"/>
    </row>
    <row r="40" spans="1:7" x14ac:dyDescent="0.2">
      <c r="A40" s="103"/>
      <c r="B40" s="97"/>
      <c r="C40" s="98"/>
      <c r="D40" s="97"/>
      <c r="E40" s="98"/>
      <c r="F40" s="98"/>
      <c r="G40" s="97"/>
    </row>
    <row r="41" spans="1:7" x14ac:dyDescent="0.2">
      <c r="A41" s="103"/>
      <c r="B41" s="97"/>
      <c r="C41" s="98"/>
      <c r="D41" s="97"/>
      <c r="E41" s="98"/>
      <c r="F41" s="98"/>
      <c r="G41" s="97"/>
    </row>
    <row r="42" spans="1:7" ht="15" x14ac:dyDescent="0.25">
      <c r="A42" s="104"/>
      <c r="B42" s="105"/>
      <c r="C42" s="106"/>
      <c r="D42" s="105"/>
      <c r="E42" s="106"/>
      <c r="F42" s="106"/>
      <c r="G42" s="105"/>
    </row>
    <row r="43" spans="1:7" ht="15" x14ac:dyDescent="0.25">
      <c r="A43" s="104"/>
      <c r="B43" s="105"/>
      <c r="C43" s="106"/>
      <c r="D43" s="105"/>
      <c r="E43" s="106"/>
      <c r="F43" s="106"/>
      <c r="G43" s="105"/>
    </row>
    <row r="44" spans="1:7" x14ac:dyDescent="0.2">
      <c r="A44" s="103"/>
      <c r="B44" s="97"/>
      <c r="C44" s="98"/>
      <c r="D44" s="97"/>
      <c r="E44" s="98"/>
      <c r="F44" s="98"/>
      <c r="G44" s="97"/>
    </row>
    <row r="45" spans="1:7" x14ac:dyDescent="0.2">
      <c r="A45" s="103"/>
      <c r="B45" s="94"/>
      <c r="C45" s="95"/>
      <c r="D45" s="94"/>
      <c r="E45" s="95"/>
      <c r="F45" s="95"/>
      <c r="G45" s="94"/>
    </row>
    <row r="46" spans="1:7" x14ac:dyDescent="0.2">
      <c r="A46" s="103"/>
      <c r="B46" s="97"/>
      <c r="C46" s="98"/>
      <c r="D46" s="97"/>
      <c r="E46" s="98"/>
      <c r="F46" s="98"/>
      <c r="G46" s="97"/>
    </row>
    <row r="47" spans="1:7" ht="15.75" x14ac:dyDescent="0.25">
      <c r="A47" s="62"/>
      <c r="B47" s="107"/>
      <c r="C47" s="108"/>
      <c r="D47" s="107"/>
      <c r="E47" s="108"/>
      <c r="F47" s="108"/>
      <c r="G47" s="107"/>
    </row>
    <row r="48" spans="1:7" ht="15.75" x14ac:dyDescent="0.25">
      <c r="A48" s="62"/>
      <c r="B48" s="107"/>
      <c r="C48" s="108"/>
      <c r="D48" s="107"/>
      <c r="E48" s="108"/>
      <c r="F48" s="108"/>
      <c r="G48" s="107"/>
    </row>
    <row r="49" spans="1:7" ht="15.75" x14ac:dyDescent="0.25">
      <c r="A49" s="62"/>
      <c r="B49" s="97"/>
      <c r="C49" s="98"/>
      <c r="D49" s="97"/>
      <c r="E49" s="98"/>
      <c r="F49" s="98"/>
      <c r="G49" s="97"/>
    </row>
    <row r="50" spans="1:7" x14ac:dyDescent="0.2">
      <c r="A50" s="103"/>
      <c r="B50" s="94"/>
      <c r="C50" s="95"/>
      <c r="D50" s="94"/>
      <c r="E50" s="95"/>
      <c r="F50" s="95"/>
      <c r="G50" s="94"/>
    </row>
    <row r="51" spans="1:7" x14ac:dyDescent="0.2">
      <c r="A51" s="103"/>
      <c r="B51" s="94"/>
      <c r="C51" s="95"/>
      <c r="D51" s="94"/>
      <c r="E51" s="95"/>
      <c r="F51" s="95"/>
      <c r="G51" s="94"/>
    </row>
    <row r="52" spans="1:7" x14ac:dyDescent="0.2">
      <c r="A52" s="103"/>
      <c r="B52" s="94"/>
      <c r="C52" s="95"/>
      <c r="D52" s="94"/>
      <c r="E52" s="95"/>
      <c r="F52" s="95"/>
      <c r="G52" s="94"/>
    </row>
    <row r="53" spans="1:7" x14ac:dyDescent="0.2">
      <c r="A53" s="103"/>
      <c r="B53" s="94"/>
      <c r="C53" s="95"/>
      <c r="D53" s="94"/>
      <c r="E53" s="95"/>
      <c r="F53" s="95"/>
      <c r="G53" s="94"/>
    </row>
    <row r="54" spans="1:7" x14ac:dyDescent="0.2">
      <c r="A54" s="103"/>
      <c r="B54" s="94"/>
      <c r="C54" s="95"/>
      <c r="D54" s="94"/>
      <c r="E54" s="95"/>
      <c r="F54" s="95"/>
      <c r="G54" s="94"/>
    </row>
    <row r="55" spans="1:7" x14ac:dyDescent="0.2">
      <c r="A55" s="103"/>
      <c r="B55" s="94"/>
      <c r="C55" s="95"/>
      <c r="D55" s="94"/>
      <c r="E55" s="95"/>
      <c r="F55" s="95"/>
      <c r="G55" s="94"/>
    </row>
    <row r="56" spans="1:7" x14ac:dyDescent="0.2">
      <c r="A56" s="103"/>
      <c r="B56" s="94"/>
      <c r="C56" s="95"/>
      <c r="D56" s="94"/>
      <c r="E56" s="95"/>
      <c r="F56" s="95"/>
      <c r="G56" s="94"/>
    </row>
    <row r="57" spans="1:7" x14ac:dyDescent="0.2">
      <c r="A57" s="103"/>
      <c r="B57" s="94"/>
      <c r="C57" s="95"/>
      <c r="D57" s="94"/>
      <c r="E57" s="95"/>
      <c r="F57" s="95"/>
      <c r="G57" s="94"/>
    </row>
    <row r="58" spans="1:7" ht="15" x14ac:dyDescent="0.25">
      <c r="A58" s="104"/>
      <c r="B58" s="112"/>
      <c r="C58" s="61"/>
      <c r="D58" s="112"/>
      <c r="E58" s="61"/>
      <c r="F58" s="61"/>
      <c r="G58" s="112"/>
    </row>
    <row r="59" spans="1:7" x14ac:dyDescent="0.2">
      <c r="A59" s="103"/>
      <c r="B59" s="94"/>
      <c r="C59" s="95"/>
      <c r="D59" s="94"/>
      <c r="E59" s="95"/>
      <c r="F59" s="95"/>
      <c r="G59" s="94"/>
    </row>
    <row r="60" spans="1:7" x14ac:dyDescent="0.2">
      <c r="A60" s="103"/>
      <c r="B60" s="94"/>
      <c r="C60" s="95"/>
      <c r="D60" s="94"/>
      <c r="E60" s="95"/>
      <c r="F60" s="95"/>
      <c r="G60" s="94"/>
    </row>
    <row r="61" spans="1:7" x14ac:dyDescent="0.2">
      <c r="A61" s="103"/>
      <c r="B61" s="94"/>
      <c r="C61" s="95"/>
      <c r="D61" s="94"/>
      <c r="E61" s="95"/>
      <c r="F61" s="95"/>
      <c r="G61" s="94"/>
    </row>
    <row r="62" spans="1:7" x14ac:dyDescent="0.2">
      <c r="A62" s="103"/>
      <c r="B62" s="94"/>
      <c r="C62" s="95"/>
      <c r="D62" s="94"/>
      <c r="E62" s="95"/>
      <c r="F62" s="95"/>
      <c r="G62" s="94"/>
    </row>
    <row r="63" spans="1:7" ht="15.75" x14ac:dyDescent="0.25">
      <c r="A63" s="62"/>
      <c r="B63" s="109"/>
      <c r="C63" s="110"/>
      <c r="D63" s="109"/>
      <c r="E63" s="110"/>
      <c r="F63" s="110"/>
      <c r="G63" s="109"/>
    </row>
    <row r="64" spans="1:7" ht="15.75" x14ac:dyDescent="0.25">
      <c r="A64" s="62"/>
      <c r="B64" s="109"/>
      <c r="C64" s="110"/>
      <c r="D64" s="109"/>
      <c r="E64" s="110"/>
      <c r="F64" s="110"/>
      <c r="G64" s="109"/>
    </row>
    <row r="65" spans="1:7" ht="15.75" x14ac:dyDescent="0.25">
      <c r="A65" s="62"/>
      <c r="B65" s="109"/>
      <c r="C65" s="110"/>
      <c r="D65" s="109"/>
      <c r="E65" s="110"/>
      <c r="F65" s="110"/>
      <c r="G65" s="109"/>
    </row>
    <row r="66" spans="1:7" x14ac:dyDescent="0.2">
      <c r="A66" s="103"/>
      <c r="B66" s="94"/>
      <c r="C66" s="95"/>
      <c r="D66" s="94"/>
      <c r="E66" s="95"/>
      <c r="F66" s="95"/>
      <c r="G66" s="94"/>
    </row>
    <row r="67" spans="1:7" x14ac:dyDescent="0.2">
      <c r="A67" s="103"/>
      <c r="B67" s="113"/>
      <c r="C67" s="114"/>
      <c r="D67" s="113"/>
      <c r="E67" s="114"/>
      <c r="F67" s="114"/>
      <c r="G67" s="113"/>
    </row>
    <row r="68" spans="1:7" x14ac:dyDescent="0.2">
      <c r="A68" s="103"/>
      <c r="B68" s="94"/>
      <c r="C68" s="95"/>
      <c r="D68" s="94"/>
      <c r="E68" s="95"/>
      <c r="F68" s="95"/>
      <c r="G68" s="94"/>
    </row>
    <row r="69" spans="1:7" ht="15.75" x14ac:dyDescent="0.25">
      <c r="A69" s="62"/>
      <c r="B69" s="109"/>
      <c r="C69" s="110"/>
      <c r="D69" s="109"/>
      <c r="E69" s="110"/>
      <c r="F69" s="110"/>
      <c r="G69" s="109"/>
    </row>
    <row r="70" spans="1:7" x14ac:dyDescent="0.2">
      <c r="A70" s="115"/>
      <c r="B70" s="94"/>
      <c r="C70" s="95"/>
      <c r="D70" s="94"/>
      <c r="E70" s="95"/>
      <c r="F70" s="95"/>
      <c r="G70" s="94"/>
    </row>
    <row r="71" spans="1:7" ht="15.75" x14ac:dyDescent="0.25">
      <c r="A71" s="62"/>
      <c r="B71" s="109"/>
      <c r="C71" s="110"/>
      <c r="D71" s="109"/>
      <c r="E71" s="110"/>
      <c r="F71" s="110"/>
      <c r="G71" s="109"/>
    </row>
    <row r="72" spans="1:7" ht="15.75" x14ac:dyDescent="0.25">
      <c r="A72" s="62"/>
      <c r="B72" s="109"/>
      <c r="C72" s="110"/>
      <c r="D72" s="109"/>
      <c r="E72" s="110"/>
      <c r="F72" s="110"/>
      <c r="G72" s="109"/>
    </row>
    <row r="73" spans="1:7" ht="15.75" x14ac:dyDescent="0.25">
      <c r="A73" s="62"/>
      <c r="B73" s="109"/>
      <c r="C73" s="110"/>
      <c r="D73" s="109"/>
      <c r="E73" s="110"/>
      <c r="F73" s="110"/>
      <c r="G73" s="109"/>
    </row>
    <row r="74" spans="1:7" ht="15.75" x14ac:dyDescent="0.25">
      <c r="A74" s="62"/>
      <c r="B74" s="109"/>
      <c r="C74" s="110"/>
      <c r="D74" s="109"/>
      <c r="E74" s="110"/>
      <c r="F74" s="110"/>
      <c r="G74" s="109"/>
    </row>
    <row r="431" spans="1:9" x14ac:dyDescent="0.2">
      <c r="A431" s="89"/>
      <c r="I431" s="89"/>
    </row>
  </sheetData>
  <mergeCells count="15">
    <mergeCell ref="A7:A8"/>
    <mergeCell ref="B7:C7"/>
    <mergeCell ref="D7:F7"/>
    <mergeCell ref="G7:G8"/>
    <mergeCell ref="H7:H8"/>
    <mergeCell ref="A17:A18"/>
    <mergeCell ref="B17:C17"/>
    <mergeCell ref="D17:F17"/>
    <mergeCell ref="G17:G18"/>
    <mergeCell ref="H17:H18"/>
    <mergeCell ref="A26:A27"/>
    <mergeCell ref="B26:C26"/>
    <mergeCell ref="D26:F26"/>
    <mergeCell ref="G26:G27"/>
    <mergeCell ref="H26:H27"/>
  </mergeCells>
  <phoneticPr fontId="9" type="noConversion"/>
  <printOptions horizontalCentered="1"/>
  <pageMargins left="0.59055118110236227" right="0.59055118110236227" top="0.78740157480314965" bottom="0.78740157480314965" header="0.59055118110236227" footer="0.59055118110236227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/>
  </sheetViews>
  <sheetFormatPr defaultRowHeight="12.75" x14ac:dyDescent="0.2"/>
  <cols>
    <col min="1" max="1" width="7" style="47" customWidth="1"/>
    <col min="2" max="2" width="70.7109375" style="47" customWidth="1"/>
    <col min="3" max="4" width="16.7109375" style="52" customWidth="1"/>
    <col min="5" max="5" width="16.7109375" style="83" customWidth="1"/>
    <col min="6" max="7" width="16.7109375" style="52" customWidth="1"/>
    <col min="8" max="8" width="16.7109375" style="83" customWidth="1"/>
    <col min="9" max="9" width="10.7109375" style="68" customWidth="1"/>
    <col min="10" max="16384" width="9.140625" style="47"/>
  </cols>
  <sheetData>
    <row r="1" spans="1:10" ht="15" customHeight="1" x14ac:dyDescent="0.35">
      <c r="A1" s="33"/>
      <c r="B1" s="33"/>
    </row>
    <row r="2" spans="1:10" ht="20.100000000000001" customHeight="1" x14ac:dyDescent="0.35">
      <c r="A2" s="33" t="s">
        <v>150</v>
      </c>
      <c r="B2" s="33"/>
    </row>
    <row r="3" spans="1:10" ht="15" customHeight="1" x14ac:dyDescent="0.2"/>
    <row r="4" spans="1:10" ht="20.100000000000001" customHeight="1" x14ac:dyDescent="0.3">
      <c r="A4" s="82" t="s">
        <v>88</v>
      </c>
      <c r="B4" s="82"/>
    </row>
    <row r="5" spans="1:10" ht="15" customHeight="1" x14ac:dyDescent="0.3">
      <c r="A5" s="82"/>
      <c r="B5" s="82"/>
    </row>
    <row r="6" spans="1:10" ht="15" customHeight="1" thickBot="1" x14ac:dyDescent="0.3">
      <c r="I6" s="54" t="s">
        <v>0</v>
      </c>
    </row>
    <row r="7" spans="1:10" s="118" customFormat="1" ht="15.95" customHeight="1" x14ac:dyDescent="0.2">
      <c r="A7" s="1432" t="s">
        <v>1</v>
      </c>
      <c r="B7" s="1433"/>
      <c r="C7" s="1364" t="s">
        <v>164</v>
      </c>
      <c r="D7" s="1365"/>
      <c r="E7" s="1364" t="s">
        <v>132</v>
      </c>
      <c r="F7" s="1368"/>
      <c r="G7" s="1365"/>
      <c r="H7" s="1369" t="s">
        <v>149</v>
      </c>
      <c r="I7" s="1371" t="s">
        <v>151</v>
      </c>
    </row>
    <row r="8" spans="1:10" s="118" customFormat="1" ht="27" customHeight="1" thickBot="1" x14ac:dyDescent="0.25">
      <c r="A8" s="1434"/>
      <c r="B8" s="1435"/>
      <c r="C8" s="1216" t="s">
        <v>169</v>
      </c>
      <c r="D8" s="1225" t="s">
        <v>170</v>
      </c>
      <c r="E8" s="1216" t="s">
        <v>169</v>
      </c>
      <c r="F8" s="1217" t="s">
        <v>470</v>
      </c>
      <c r="G8" s="1218" t="s">
        <v>471</v>
      </c>
      <c r="H8" s="1370"/>
      <c r="I8" s="1372"/>
    </row>
    <row r="9" spans="1:10" ht="20.100000000000001" customHeight="1" x14ac:dyDescent="0.2">
      <c r="A9" s="1129" t="s">
        <v>59</v>
      </c>
      <c r="B9" s="1130"/>
      <c r="C9" s="1131">
        <f t="shared" ref="C9:H9" si="0">SUM(C10:C23)</f>
        <v>322500</v>
      </c>
      <c r="D9" s="1132">
        <f t="shared" si="0"/>
        <v>324569.53000000003</v>
      </c>
      <c r="E9" s="1131">
        <f t="shared" si="0"/>
        <v>367500</v>
      </c>
      <c r="F9" s="1145">
        <f t="shared" si="0"/>
        <v>808937.67</v>
      </c>
      <c r="G9" s="1132">
        <f t="shared" si="0"/>
        <v>220925.58</v>
      </c>
      <c r="H9" s="1133">
        <f t="shared" si="0"/>
        <v>369610</v>
      </c>
      <c r="I9" s="926">
        <f>H9/E9*100</f>
        <v>100.57414965986395</v>
      </c>
      <c r="J9" s="83"/>
    </row>
    <row r="10" spans="1:10" s="119" customFormat="1" ht="15" customHeight="1" x14ac:dyDescent="0.2">
      <c r="A10" s="1438" t="s">
        <v>133</v>
      </c>
      <c r="B10" s="1134" t="s">
        <v>19</v>
      </c>
      <c r="C10" s="1135">
        <v>11700</v>
      </c>
      <c r="D10" s="1136">
        <v>31919.64</v>
      </c>
      <c r="E10" s="1137">
        <v>15000</v>
      </c>
      <c r="F10" s="1138">
        <v>44606.37</v>
      </c>
      <c r="G10" s="1139">
        <v>31036.44</v>
      </c>
      <c r="H10" s="1140">
        <v>15000</v>
      </c>
      <c r="I10" s="1141">
        <f t="shared" ref="I10:I32" si="1">H10/E10*100</f>
        <v>100</v>
      </c>
      <c r="J10" s="1160"/>
    </row>
    <row r="11" spans="1:10" s="119" customFormat="1" ht="15" customHeight="1" x14ac:dyDescent="0.2">
      <c r="A11" s="1439"/>
      <c r="B11" s="1134" t="s">
        <v>394</v>
      </c>
      <c r="C11" s="1135">
        <v>800</v>
      </c>
      <c r="D11" s="1136">
        <v>1060</v>
      </c>
      <c r="E11" s="1137">
        <v>0</v>
      </c>
      <c r="F11" s="1138">
        <v>550</v>
      </c>
      <c r="G11" s="1139">
        <v>550</v>
      </c>
      <c r="H11" s="1140">
        <v>0</v>
      </c>
      <c r="I11" s="1141" t="s">
        <v>159</v>
      </c>
      <c r="J11" s="1160"/>
    </row>
    <row r="12" spans="1:10" s="119" customFormat="1" ht="15" customHeight="1" x14ac:dyDescent="0.2">
      <c r="A12" s="1439"/>
      <c r="B12" s="1134" t="s">
        <v>482</v>
      </c>
      <c r="C12" s="1135">
        <v>0</v>
      </c>
      <c r="D12" s="1136">
        <v>0</v>
      </c>
      <c r="E12" s="1137">
        <v>0</v>
      </c>
      <c r="F12" s="1138">
        <v>957.81</v>
      </c>
      <c r="G12" s="1139">
        <v>0</v>
      </c>
      <c r="H12" s="1140">
        <v>0</v>
      </c>
      <c r="I12" s="1141" t="s">
        <v>159</v>
      </c>
      <c r="J12" s="1160"/>
    </row>
    <row r="13" spans="1:10" s="119" customFormat="1" ht="15" customHeight="1" x14ac:dyDescent="0.2">
      <c r="A13" s="1439"/>
      <c r="B13" s="1134" t="s">
        <v>92</v>
      </c>
      <c r="C13" s="1135">
        <v>0</v>
      </c>
      <c r="D13" s="1136">
        <v>5521.45</v>
      </c>
      <c r="E13" s="1137">
        <v>0</v>
      </c>
      <c r="F13" s="1138">
        <v>5245.98</v>
      </c>
      <c r="G13" s="1139">
        <v>3928.98</v>
      </c>
      <c r="H13" s="1140">
        <v>0</v>
      </c>
      <c r="I13" s="1141" t="s">
        <v>159</v>
      </c>
      <c r="J13" s="1160"/>
    </row>
    <row r="14" spans="1:10" s="119" customFormat="1" ht="15" customHeight="1" x14ac:dyDescent="0.2">
      <c r="A14" s="1439"/>
      <c r="B14" s="1134" t="s">
        <v>432</v>
      </c>
      <c r="C14" s="1135">
        <v>0</v>
      </c>
      <c r="D14" s="1136">
        <v>9762.8700000000008</v>
      </c>
      <c r="E14" s="1137">
        <v>12500</v>
      </c>
      <c r="F14" s="1138">
        <v>5463.28</v>
      </c>
      <c r="G14" s="1139">
        <v>4608.75</v>
      </c>
      <c r="H14" s="1140">
        <v>12000</v>
      </c>
      <c r="I14" s="1141">
        <f t="shared" si="1"/>
        <v>96</v>
      </c>
      <c r="J14" s="1160"/>
    </row>
    <row r="15" spans="1:10" s="119" customFormat="1" ht="15" customHeight="1" x14ac:dyDescent="0.2">
      <c r="A15" s="1439"/>
      <c r="B15" s="1134" t="s">
        <v>23</v>
      </c>
      <c r="C15" s="1135">
        <v>0</v>
      </c>
      <c r="D15" s="1136">
        <v>24582.14</v>
      </c>
      <c r="E15" s="1142">
        <v>0</v>
      </c>
      <c r="F15" s="1143">
        <v>16541.27</v>
      </c>
      <c r="G15" s="1143">
        <v>222.74</v>
      </c>
      <c r="H15" s="1140">
        <v>0</v>
      </c>
      <c r="I15" s="1141" t="s">
        <v>159</v>
      </c>
      <c r="J15" s="47"/>
    </row>
    <row r="16" spans="1:10" s="119" customFormat="1" ht="26.25" customHeight="1" x14ac:dyDescent="0.2">
      <c r="A16" s="1439"/>
      <c r="B16" s="1134" t="s">
        <v>475</v>
      </c>
      <c r="C16" s="1135">
        <v>110000</v>
      </c>
      <c r="D16" s="1136">
        <v>55452.5</v>
      </c>
      <c r="E16" s="1137">
        <v>110000</v>
      </c>
      <c r="F16" s="1138">
        <v>216364.81</v>
      </c>
      <c r="G16" s="1139">
        <v>58853.29</v>
      </c>
      <c r="H16" s="1140">
        <v>110000</v>
      </c>
      <c r="I16" s="1141">
        <f t="shared" si="1"/>
        <v>100</v>
      </c>
      <c r="J16" s="1160"/>
    </row>
    <row r="17" spans="1:10" s="119" customFormat="1" ht="15" customHeight="1" x14ac:dyDescent="0.2">
      <c r="A17" s="1439"/>
      <c r="B17" s="1134" t="s">
        <v>93</v>
      </c>
      <c r="C17" s="1135">
        <v>100000</v>
      </c>
      <c r="D17" s="1136">
        <v>59301.48</v>
      </c>
      <c r="E17" s="1137">
        <v>120000</v>
      </c>
      <c r="F17" s="1138">
        <v>196257.19</v>
      </c>
      <c r="G17" s="1139">
        <v>39540.629999999997</v>
      </c>
      <c r="H17" s="1140">
        <v>120000</v>
      </c>
      <c r="I17" s="1141">
        <f t="shared" si="1"/>
        <v>100</v>
      </c>
      <c r="J17" s="1160"/>
    </row>
    <row r="18" spans="1:10" s="119" customFormat="1" ht="15" customHeight="1" x14ac:dyDescent="0.2">
      <c r="A18" s="1439"/>
      <c r="B18" s="1134" t="s">
        <v>365</v>
      </c>
      <c r="C18" s="1135">
        <v>0</v>
      </c>
      <c r="D18" s="1136">
        <v>0</v>
      </c>
      <c r="E18" s="1142">
        <v>0</v>
      </c>
      <c r="F18" s="1143">
        <v>50000</v>
      </c>
      <c r="G18" s="1143">
        <v>0</v>
      </c>
      <c r="H18" s="1140">
        <v>0</v>
      </c>
      <c r="I18" s="1141" t="s">
        <v>159</v>
      </c>
      <c r="J18" s="1160"/>
    </row>
    <row r="19" spans="1:10" s="119" customFormat="1" ht="15" customHeight="1" x14ac:dyDescent="0.2">
      <c r="A19" s="1439"/>
      <c r="B19" s="1134" t="s">
        <v>483</v>
      </c>
      <c r="C19" s="1135">
        <v>0</v>
      </c>
      <c r="D19" s="1136">
        <v>9493.25</v>
      </c>
      <c r="E19" s="1137">
        <v>20000</v>
      </c>
      <c r="F19" s="1138">
        <v>72099.23</v>
      </c>
      <c r="G19" s="1139">
        <v>22587.75</v>
      </c>
      <c r="H19" s="1140">
        <v>20000</v>
      </c>
      <c r="I19" s="1141">
        <f>H19/E19*100</f>
        <v>100</v>
      </c>
      <c r="J19" s="1160"/>
    </row>
    <row r="20" spans="1:10" s="119" customFormat="1" ht="15" customHeight="1" x14ac:dyDescent="0.2">
      <c r="A20" s="1439"/>
      <c r="B20" s="1134" t="s">
        <v>396</v>
      </c>
      <c r="C20" s="1135">
        <v>0</v>
      </c>
      <c r="D20" s="1136">
        <v>3093.41</v>
      </c>
      <c r="E20" s="1142">
        <v>0</v>
      </c>
      <c r="F20" s="1138">
        <v>1962.29</v>
      </c>
      <c r="G20" s="1138">
        <v>558.15</v>
      </c>
      <c r="H20" s="1140">
        <v>0</v>
      </c>
      <c r="I20" s="1141" t="s">
        <v>159</v>
      </c>
    </row>
    <row r="21" spans="1:10" s="119" customFormat="1" ht="15" customHeight="1" x14ac:dyDescent="0.2">
      <c r="A21" s="1439"/>
      <c r="B21" s="1134" t="s">
        <v>94</v>
      </c>
      <c r="C21" s="1135">
        <v>50000</v>
      </c>
      <c r="D21" s="1136">
        <v>62192.57</v>
      </c>
      <c r="E21" s="1137">
        <v>50000</v>
      </c>
      <c r="F21" s="1138">
        <v>124782.89</v>
      </c>
      <c r="G21" s="1139">
        <v>27182.29</v>
      </c>
      <c r="H21" s="1140">
        <v>50000</v>
      </c>
      <c r="I21" s="1141">
        <f>H21/E21*100</f>
        <v>100</v>
      </c>
      <c r="J21" s="1160"/>
    </row>
    <row r="22" spans="1:10" s="119" customFormat="1" ht="15" customHeight="1" x14ac:dyDescent="0.2">
      <c r="A22" s="1439"/>
      <c r="B22" s="1134" t="s">
        <v>395</v>
      </c>
      <c r="C22" s="1135">
        <v>0</v>
      </c>
      <c r="D22" s="1136">
        <v>0</v>
      </c>
      <c r="E22" s="1174">
        <v>0</v>
      </c>
      <c r="F22" s="1175">
        <v>10172</v>
      </c>
      <c r="G22" s="1175">
        <v>10172.01</v>
      </c>
      <c r="H22" s="1140">
        <v>0</v>
      </c>
      <c r="I22" s="1141" t="s">
        <v>159</v>
      </c>
    </row>
    <row r="23" spans="1:10" s="119" customFormat="1" ht="39" customHeight="1" x14ac:dyDescent="0.2">
      <c r="A23" s="1440"/>
      <c r="B23" s="1134" t="s">
        <v>126</v>
      </c>
      <c r="C23" s="1135">
        <v>50000</v>
      </c>
      <c r="D23" s="1136">
        <v>62190.22</v>
      </c>
      <c r="E23" s="1137">
        <v>40000</v>
      </c>
      <c r="F23" s="1138">
        <v>63934.55</v>
      </c>
      <c r="G23" s="1139">
        <v>21684.55</v>
      </c>
      <c r="H23" s="1140">
        <f>+Fondy!H28</f>
        <v>42610</v>
      </c>
      <c r="I23" s="1141">
        <f>H23/E23*100</f>
        <v>106.52500000000001</v>
      </c>
      <c r="J23" s="1160"/>
    </row>
    <row r="24" spans="1:10" ht="20.100000000000001" customHeight="1" x14ac:dyDescent="0.2">
      <c r="A24" s="296" t="s">
        <v>136</v>
      </c>
      <c r="B24" s="1144"/>
      <c r="C24" s="1131">
        <v>0</v>
      </c>
      <c r="D24" s="1132">
        <v>5042.75</v>
      </c>
      <c r="E24" s="1131">
        <v>0</v>
      </c>
      <c r="F24" s="1145">
        <v>9700</v>
      </c>
      <c r="G24" s="1132">
        <v>1440.47</v>
      </c>
      <c r="H24" s="1133">
        <v>0</v>
      </c>
      <c r="I24" s="1141" t="s">
        <v>159</v>
      </c>
    </row>
    <row r="25" spans="1:10" ht="30.75" customHeight="1" x14ac:dyDescent="0.2">
      <c r="A25" s="1441" t="s">
        <v>87</v>
      </c>
      <c r="B25" s="1442"/>
      <c r="C25" s="1146">
        <v>0</v>
      </c>
      <c r="D25" s="1147">
        <v>9818.4599999999991</v>
      </c>
      <c r="E25" s="1146">
        <v>0</v>
      </c>
      <c r="F25" s="1148">
        <v>7787.59</v>
      </c>
      <c r="G25" s="1147">
        <v>1601.61</v>
      </c>
      <c r="H25" s="1149">
        <v>0</v>
      </c>
      <c r="I25" s="1141" t="s">
        <v>159</v>
      </c>
    </row>
    <row r="26" spans="1:10" ht="20.100000000000001" customHeight="1" x14ac:dyDescent="0.25">
      <c r="A26" s="1441" t="s">
        <v>147</v>
      </c>
      <c r="B26" s="1442"/>
      <c r="C26" s="1146">
        <v>0</v>
      </c>
      <c r="D26" s="1147">
        <v>300893.34999999998</v>
      </c>
      <c r="E26" s="1146">
        <v>0</v>
      </c>
      <c r="F26" s="1148">
        <v>212614.56</v>
      </c>
      <c r="G26" s="1147">
        <v>114391.58</v>
      </c>
      <c r="H26" s="1149">
        <v>0</v>
      </c>
      <c r="I26" s="926" t="s">
        <v>159</v>
      </c>
      <c r="J26" s="60"/>
    </row>
    <row r="27" spans="1:10" ht="20.100000000000001" customHeight="1" x14ac:dyDescent="0.2">
      <c r="A27" s="1441" t="s">
        <v>439</v>
      </c>
      <c r="B27" s="1442"/>
      <c r="C27" s="1146">
        <f>'Sumář příjmů a výdajů'!B40+'Sumář příjmů a výdajů'!B50</f>
        <v>516500</v>
      </c>
      <c r="D27" s="1147">
        <f>SUM(D28:D29)</f>
        <v>1200642.6299999999</v>
      </c>
      <c r="E27" s="1146">
        <f>SUM(E28:E29)</f>
        <v>486450</v>
      </c>
      <c r="F27" s="1148">
        <f t="shared" ref="F27:G27" si="2">SUM(F28:F29)</f>
        <v>1557917.11</v>
      </c>
      <c r="G27" s="1150">
        <f t="shared" si="2"/>
        <v>465014.24</v>
      </c>
      <c r="H27" s="1149">
        <f>+H28+H29</f>
        <v>700000</v>
      </c>
      <c r="I27" s="926">
        <f t="shared" si="1"/>
        <v>143.89968136499127</v>
      </c>
    </row>
    <row r="28" spans="1:10" s="119" customFormat="1" ht="20.25" customHeight="1" x14ac:dyDescent="0.2">
      <c r="A28" s="1436" t="s">
        <v>122</v>
      </c>
      <c r="B28" s="1151" t="s">
        <v>440</v>
      </c>
      <c r="C28" s="1152">
        <f>C27-C29</f>
        <v>386000</v>
      </c>
      <c r="D28" s="1153">
        <v>1160142.6299999999</v>
      </c>
      <c r="E28" s="1152">
        <v>450000</v>
      </c>
      <c r="F28" s="1154">
        <v>1521167.11</v>
      </c>
      <c r="G28" s="1153">
        <v>428714.23999999999</v>
      </c>
      <c r="H28" s="1155">
        <v>700000</v>
      </c>
      <c r="I28" s="1141">
        <f t="shared" si="1"/>
        <v>155.55555555555557</v>
      </c>
      <c r="J28" s="47"/>
    </row>
    <row r="29" spans="1:10" s="119" customFormat="1" ht="20.25" customHeight="1" x14ac:dyDescent="0.2">
      <c r="A29" s="1437"/>
      <c r="B29" s="1151" t="s">
        <v>441</v>
      </c>
      <c r="C29" s="1152">
        <v>130500</v>
      </c>
      <c r="D29" s="1153">
        <v>40500</v>
      </c>
      <c r="E29" s="1152">
        <v>36450</v>
      </c>
      <c r="F29" s="1154">
        <v>36750</v>
      </c>
      <c r="G29" s="1153">
        <v>36300</v>
      </c>
      <c r="H29" s="1155">
        <v>0</v>
      </c>
      <c r="I29" s="1141">
        <f t="shared" si="1"/>
        <v>0</v>
      </c>
      <c r="J29" s="47"/>
    </row>
    <row r="30" spans="1:10" ht="20.100000000000001" customHeight="1" x14ac:dyDescent="0.2">
      <c r="A30" s="1441" t="s">
        <v>86</v>
      </c>
      <c r="B30" s="1442"/>
      <c r="C30" s="1146">
        <v>0</v>
      </c>
      <c r="D30" s="1147">
        <v>1478140.09</v>
      </c>
      <c r="E30" s="1146">
        <v>1500000</v>
      </c>
      <c r="F30" s="1148">
        <v>2173564.0299999998</v>
      </c>
      <c r="G30" s="1147">
        <v>918203.44</v>
      </c>
      <c r="H30" s="1149">
        <f>+'Sumář příjmů a výdajů'!G41*0.85</f>
        <v>2210000</v>
      </c>
      <c r="I30" s="926">
        <f t="shared" si="1"/>
        <v>147.33333333333334</v>
      </c>
    </row>
    <row r="31" spans="1:10" ht="32.25" customHeight="1" x14ac:dyDescent="0.2">
      <c r="A31" s="1441" t="s">
        <v>137</v>
      </c>
      <c r="B31" s="1442"/>
      <c r="C31" s="1146">
        <v>0</v>
      </c>
      <c r="D31" s="1147">
        <v>110966.63</v>
      </c>
      <c r="E31" s="1146">
        <v>0</v>
      </c>
      <c r="F31" s="1148">
        <v>29058.16</v>
      </c>
      <c r="G31" s="1147">
        <v>16949.349999999999</v>
      </c>
      <c r="H31" s="1149">
        <v>25000</v>
      </c>
      <c r="I31" s="926" t="s">
        <v>159</v>
      </c>
    </row>
    <row r="32" spans="1:10" ht="20.100000000000001" customHeight="1" x14ac:dyDescent="0.2">
      <c r="A32" s="1441" t="s">
        <v>85</v>
      </c>
      <c r="B32" s="1442"/>
      <c r="C32" s="1146">
        <f>'Sumář příjmů a výdajů'!B53</f>
        <v>191819</v>
      </c>
      <c r="D32" s="1147">
        <v>185532.43</v>
      </c>
      <c r="E32" s="1146">
        <v>191671</v>
      </c>
      <c r="F32" s="1148">
        <v>191671</v>
      </c>
      <c r="G32" s="1147">
        <v>139610.15</v>
      </c>
      <c r="H32" s="1149">
        <f>+'Sumář příjmů a výdajů'!G53</f>
        <v>191469</v>
      </c>
      <c r="I32" s="926">
        <f t="shared" si="1"/>
        <v>99.894611078358224</v>
      </c>
    </row>
    <row r="33" spans="1:10" ht="20.100000000000001" customHeight="1" thickBot="1" x14ac:dyDescent="0.25">
      <c r="A33" s="1441" t="s">
        <v>84</v>
      </c>
      <c r="B33" s="1442"/>
      <c r="C33" s="1156">
        <v>0</v>
      </c>
      <c r="D33" s="1157">
        <v>358467</v>
      </c>
      <c r="E33" s="1156">
        <v>0</v>
      </c>
      <c r="F33" s="1158">
        <v>1603878.89</v>
      </c>
      <c r="G33" s="1157">
        <v>1089260.5</v>
      </c>
      <c r="H33" s="1159">
        <v>0</v>
      </c>
      <c r="I33" s="926" t="s">
        <v>159</v>
      </c>
    </row>
    <row r="34" spans="1:10" s="60" customFormat="1" ht="30" customHeight="1" thickBot="1" x14ac:dyDescent="0.3">
      <c r="A34" s="120" t="s">
        <v>91</v>
      </c>
      <c r="B34" s="120"/>
      <c r="C34" s="121">
        <f t="shared" ref="C34:H34" si="3">C9+C25+C26+C27+C30+C32+C33+C24+C31</f>
        <v>1030819</v>
      </c>
      <c r="D34" s="87">
        <f t="shared" si="3"/>
        <v>3974072.87</v>
      </c>
      <c r="E34" s="86">
        <f t="shared" si="3"/>
        <v>2545621</v>
      </c>
      <c r="F34" s="88">
        <f t="shared" si="3"/>
        <v>6595129.0099999998</v>
      </c>
      <c r="G34" s="87">
        <f t="shared" si="3"/>
        <v>2967396.92</v>
      </c>
      <c r="H34" s="256">
        <f t="shared" si="3"/>
        <v>3496079</v>
      </c>
      <c r="I34" s="93">
        <f t="shared" ref="I34" si="4">H34/E34*100</f>
        <v>137.33697985678151</v>
      </c>
      <c r="J34" s="47"/>
    </row>
    <row r="37" spans="1:10" ht="30.75" customHeight="1" x14ac:dyDescent="0.2">
      <c r="A37" s="1431" t="s">
        <v>503</v>
      </c>
      <c r="B37" s="1431"/>
      <c r="C37" s="1431"/>
      <c r="D37" s="1431"/>
      <c r="E37" s="1431"/>
      <c r="F37" s="1431"/>
      <c r="G37" s="1431"/>
      <c r="H37" s="1431"/>
      <c r="I37" s="1431"/>
    </row>
    <row r="39" spans="1:10" x14ac:dyDescent="0.2">
      <c r="E39" s="1128"/>
    </row>
  </sheetData>
  <mergeCells count="15">
    <mergeCell ref="A37:I37"/>
    <mergeCell ref="C7:D7"/>
    <mergeCell ref="E7:G7"/>
    <mergeCell ref="H7:H8"/>
    <mergeCell ref="I7:I8"/>
    <mergeCell ref="A7:B8"/>
    <mergeCell ref="A28:A29"/>
    <mergeCell ref="A10:A23"/>
    <mergeCell ref="A25:B25"/>
    <mergeCell ref="A26:B26"/>
    <mergeCell ref="A27:B27"/>
    <mergeCell ref="A30:B30"/>
    <mergeCell ref="A31:B31"/>
    <mergeCell ref="A32:B32"/>
    <mergeCell ref="A33:B33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8"/>
  <sheetViews>
    <sheetView workbookViewId="0"/>
  </sheetViews>
  <sheetFormatPr defaultRowHeight="12.75" x14ac:dyDescent="0.2"/>
  <cols>
    <col min="1" max="1" width="10.7109375" style="118" customWidth="1"/>
    <col min="2" max="2" width="10.7109375" style="122" customWidth="1"/>
    <col min="3" max="3" width="99.140625" style="83" customWidth="1"/>
    <col min="4" max="4" width="20.7109375" style="83" customWidth="1"/>
    <col min="5" max="5" width="9.140625" style="47"/>
    <col min="6" max="6" width="9.140625" style="47" customWidth="1"/>
    <col min="7" max="16384" width="9.140625" style="47"/>
  </cols>
  <sheetData>
    <row r="1" spans="1:4" ht="15" customHeight="1" x14ac:dyDescent="0.2"/>
    <row r="2" spans="1:4" ht="23.25" x14ac:dyDescent="0.35">
      <c r="A2" s="48" t="s">
        <v>150</v>
      </c>
    </row>
    <row r="3" spans="1:4" ht="15" customHeight="1" x14ac:dyDescent="0.2"/>
    <row r="4" spans="1:4" ht="20.100000000000001" customHeight="1" x14ac:dyDescent="0.3">
      <c r="A4" s="123" t="s">
        <v>120</v>
      </c>
    </row>
    <row r="5" spans="1:4" ht="15" customHeight="1" x14ac:dyDescent="0.3">
      <c r="A5" s="641"/>
    </row>
    <row r="6" spans="1:4" ht="15" customHeight="1" thickBot="1" x14ac:dyDescent="0.3">
      <c r="D6" s="91" t="s">
        <v>0</v>
      </c>
    </row>
    <row r="7" spans="1:4" ht="35.1" customHeight="1" thickBot="1" x14ac:dyDescent="0.3">
      <c r="A7" s="1270" t="s">
        <v>27</v>
      </c>
      <c r="B7" s="1271" t="s">
        <v>104</v>
      </c>
      <c r="C7" s="1272" t="s">
        <v>106</v>
      </c>
      <c r="D7" s="929" t="s">
        <v>152</v>
      </c>
    </row>
    <row r="8" spans="1:4" ht="20.25" customHeight="1" x14ac:dyDescent="0.25">
      <c r="A8" s="317" t="s">
        <v>107</v>
      </c>
      <c r="B8" s="318">
        <v>6172</v>
      </c>
      <c r="C8" s="319" t="s">
        <v>138</v>
      </c>
      <c r="D8" s="320">
        <v>600</v>
      </c>
    </row>
    <row r="9" spans="1:4" ht="20.25" customHeight="1" x14ac:dyDescent="0.25">
      <c r="A9" s="321" t="s">
        <v>412</v>
      </c>
      <c r="B9" s="322" t="s">
        <v>414</v>
      </c>
      <c r="C9" s="323" t="s">
        <v>462</v>
      </c>
      <c r="D9" s="324">
        <v>2200</v>
      </c>
    </row>
    <row r="10" spans="1:4" ht="20.25" customHeight="1" x14ac:dyDescent="0.25">
      <c r="A10" s="321" t="s">
        <v>412</v>
      </c>
      <c r="B10" s="322" t="s">
        <v>414</v>
      </c>
      <c r="C10" s="323" t="s">
        <v>443</v>
      </c>
      <c r="D10" s="324">
        <v>1000</v>
      </c>
    </row>
    <row r="11" spans="1:4" ht="20.25" customHeight="1" x14ac:dyDescent="0.25">
      <c r="A11" s="321" t="s">
        <v>110</v>
      </c>
      <c r="B11" s="322" t="s">
        <v>108</v>
      </c>
      <c r="C11" s="323" t="s">
        <v>139</v>
      </c>
      <c r="D11" s="324">
        <v>3000</v>
      </c>
    </row>
    <row r="12" spans="1:4" ht="20.25" customHeight="1" x14ac:dyDescent="0.25">
      <c r="A12" s="321" t="s">
        <v>110</v>
      </c>
      <c r="B12" s="322" t="s">
        <v>108</v>
      </c>
      <c r="C12" s="323" t="s">
        <v>389</v>
      </c>
      <c r="D12" s="324">
        <v>2000</v>
      </c>
    </row>
    <row r="13" spans="1:4" ht="20.25" customHeight="1" x14ac:dyDescent="0.25">
      <c r="A13" s="325" t="s">
        <v>111</v>
      </c>
      <c r="B13" s="326" t="s">
        <v>112</v>
      </c>
      <c r="C13" s="327" t="s">
        <v>113</v>
      </c>
      <c r="D13" s="328">
        <v>100</v>
      </c>
    </row>
    <row r="14" spans="1:4" ht="20.25" customHeight="1" x14ac:dyDescent="0.25">
      <c r="A14" s="329" t="s">
        <v>116</v>
      </c>
      <c r="B14" s="330" t="s">
        <v>108</v>
      </c>
      <c r="C14" s="331" t="s">
        <v>117</v>
      </c>
      <c r="D14" s="294">
        <v>4000</v>
      </c>
    </row>
    <row r="15" spans="1:4" ht="20.25" customHeight="1" thickBot="1" x14ac:dyDescent="0.3">
      <c r="A15" s="329" t="s">
        <v>116</v>
      </c>
      <c r="B15" s="330" t="s">
        <v>108</v>
      </c>
      <c r="C15" s="331" t="s">
        <v>109</v>
      </c>
      <c r="D15" s="294">
        <v>200</v>
      </c>
    </row>
    <row r="16" spans="1:4" s="60" customFormat="1" ht="30.75" customHeight="1" thickBot="1" x14ac:dyDescent="0.3">
      <c r="A16" s="1443" t="s">
        <v>124</v>
      </c>
      <c r="B16" s="1444"/>
      <c r="C16" s="1444"/>
      <c r="D16" s="256">
        <f>SUM(D8:D15)</f>
        <v>13100</v>
      </c>
    </row>
    <row r="19" spans="1:4" ht="14.25" customHeight="1" x14ac:dyDescent="0.2">
      <c r="A19" s="124" t="s">
        <v>417</v>
      </c>
      <c r="B19" s="47"/>
      <c r="C19" s="47"/>
      <c r="D19" s="47"/>
    </row>
    <row r="418" spans="1:2" s="83" customFormat="1" x14ac:dyDescent="0.2">
      <c r="A418" s="125"/>
      <c r="B418" s="122"/>
    </row>
  </sheetData>
  <mergeCells count="1">
    <mergeCell ref="A16:C16"/>
  </mergeCells>
  <printOptions horizontalCentered="1"/>
  <pageMargins left="0.59055118110236227" right="0.59055118110236227" top="0.78740157480314965" bottom="0.78740157480314965" header="0.59055118110236227" footer="0.59055118110236227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7"/>
  <sheetViews>
    <sheetView workbookViewId="0"/>
  </sheetViews>
  <sheetFormatPr defaultRowHeight="12.75" x14ac:dyDescent="0.2"/>
  <cols>
    <col min="1" max="1" width="10.7109375" style="899" customWidth="1"/>
    <col min="2" max="2" width="10.7109375" style="122" customWidth="1"/>
    <col min="3" max="3" width="7.5703125" style="83" customWidth="1"/>
    <col min="4" max="4" width="99.140625" style="83" customWidth="1"/>
    <col min="5" max="5" width="20.7109375" style="83" customWidth="1"/>
    <col min="6" max="6" width="9.140625" style="47"/>
    <col min="7" max="7" width="9.140625" style="47" customWidth="1"/>
    <col min="8" max="16384" width="9.140625" style="47"/>
  </cols>
  <sheetData>
    <row r="1" spans="1:5" ht="15" customHeight="1" x14ac:dyDescent="0.2"/>
    <row r="2" spans="1:5" ht="23.25" x14ac:dyDescent="0.35">
      <c r="A2" s="48" t="s">
        <v>150</v>
      </c>
    </row>
    <row r="3" spans="1:5" ht="15" customHeight="1" x14ac:dyDescent="0.2"/>
    <row r="4" spans="1:5" ht="20.100000000000001" customHeight="1" x14ac:dyDescent="0.3">
      <c r="A4" s="900" t="s">
        <v>413</v>
      </c>
    </row>
    <row r="5" spans="1:5" ht="15" customHeight="1" x14ac:dyDescent="0.3">
      <c r="A5" s="900"/>
    </row>
    <row r="6" spans="1:5" ht="15" customHeight="1" thickBot="1" x14ac:dyDescent="0.3">
      <c r="E6" s="91" t="s">
        <v>0</v>
      </c>
    </row>
    <row r="7" spans="1:5" s="1053" customFormat="1" ht="35.1" customHeight="1" thickBot="1" x14ac:dyDescent="0.25">
      <c r="A7" s="1102" t="s">
        <v>27</v>
      </c>
      <c r="B7" s="1103" t="s">
        <v>104</v>
      </c>
      <c r="C7" s="1445" t="s">
        <v>106</v>
      </c>
      <c r="D7" s="1446"/>
      <c r="E7" s="1104" t="s">
        <v>152</v>
      </c>
    </row>
    <row r="8" spans="1:5" s="1053" customFormat="1" ht="15.95" customHeight="1" x14ac:dyDescent="0.2">
      <c r="A8" s="1056" t="s">
        <v>412</v>
      </c>
      <c r="B8" s="1057" t="s">
        <v>415</v>
      </c>
      <c r="C8" s="1449" t="s">
        <v>463</v>
      </c>
      <c r="D8" s="1450"/>
      <c r="E8" s="1058">
        <v>97000</v>
      </c>
    </row>
    <row r="9" spans="1:5" s="1053" customFormat="1" ht="15.95" customHeight="1" x14ac:dyDescent="0.2">
      <c r="A9" s="1059" t="s">
        <v>418</v>
      </c>
      <c r="B9" s="1060" t="s">
        <v>212</v>
      </c>
      <c r="C9" s="1451" t="s">
        <v>419</v>
      </c>
      <c r="D9" s="1452"/>
      <c r="E9" s="1061">
        <v>10000</v>
      </c>
    </row>
    <row r="10" spans="1:5" s="1053" customFormat="1" ht="15.95" customHeight="1" x14ac:dyDescent="0.2">
      <c r="A10" s="1059" t="s">
        <v>81</v>
      </c>
      <c r="B10" s="1060" t="s">
        <v>422</v>
      </c>
      <c r="C10" s="1451" t="s">
        <v>425</v>
      </c>
      <c r="D10" s="1452"/>
      <c r="E10" s="1061">
        <v>148000</v>
      </c>
    </row>
    <row r="11" spans="1:5" s="1246" customFormat="1" ht="15.95" customHeight="1" x14ac:dyDescent="0.2">
      <c r="A11" s="1245" t="s">
        <v>427</v>
      </c>
      <c r="B11" s="1244" t="s">
        <v>226</v>
      </c>
      <c r="C11" s="1451" t="s">
        <v>488</v>
      </c>
      <c r="D11" s="1452"/>
      <c r="E11" s="1061">
        <v>35000</v>
      </c>
    </row>
    <row r="12" spans="1:5" s="1053" customFormat="1" ht="15.95" customHeight="1" x14ac:dyDescent="0.2">
      <c r="A12" s="1458" t="s">
        <v>427</v>
      </c>
      <c r="B12" s="1455" t="s">
        <v>226</v>
      </c>
      <c r="C12" s="1451" t="s">
        <v>420</v>
      </c>
      <c r="D12" s="1452"/>
      <c r="E12" s="1061">
        <f>SUM(E13:E14)</f>
        <v>230000</v>
      </c>
    </row>
    <row r="13" spans="1:5" s="1053" customFormat="1" ht="15.95" customHeight="1" x14ac:dyDescent="0.2">
      <c r="A13" s="1459"/>
      <c r="B13" s="1456"/>
      <c r="C13" s="1453" t="s">
        <v>133</v>
      </c>
      <c r="D13" s="1064" t="s">
        <v>421</v>
      </c>
      <c r="E13" s="1065">
        <v>90000</v>
      </c>
    </row>
    <row r="14" spans="1:5" s="1053" customFormat="1" ht="15.95" customHeight="1" thickBot="1" x14ac:dyDescent="0.25">
      <c r="A14" s="1460"/>
      <c r="B14" s="1457"/>
      <c r="C14" s="1454"/>
      <c r="D14" s="1064" t="s">
        <v>423</v>
      </c>
      <c r="E14" s="1065">
        <v>140000</v>
      </c>
    </row>
    <row r="15" spans="1:5" s="253" customFormat="1" ht="30.75" customHeight="1" thickBot="1" x14ac:dyDescent="0.25">
      <c r="A15" s="1447" t="s">
        <v>435</v>
      </c>
      <c r="B15" s="1448"/>
      <c r="C15" s="1448"/>
      <c r="D15" s="1062"/>
      <c r="E15" s="1063">
        <f>SUM(E8:E12)</f>
        <v>520000</v>
      </c>
    </row>
    <row r="18" spans="1:5" ht="14.25" customHeight="1" x14ac:dyDescent="0.2">
      <c r="A18" s="124"/>
      <c r="B18" s="47"/>
      <c r="C18" s="47"/>
      <c r="D18" s="47"/>
      <c r="E18" s="47"/>
    </row>
    <row r="417" spans="1:2" s="83" customFormat="1" x14ac:dyDescent="0.2">
      <c r="A417" s="125"/>
      <c r="B417" s="122"/>
    </row>
  </sheetData>
  <mergeCells count="10">
    <mergeCell ref="C7:D7"/>
    <mergeCell ref="A15:C15"/>
    <mergeCell ref="C8:D8"/>
    <mergeCell ref="C9:D9"/>
    <mergeCell ref="C10:D10"/>
    <mergeCell ref="C12:D12"/>
    <mergeCell ref="C13:C14"/>
    <mergeCell ref="B12:B14"/>
    <mergeCell ref="A12:A14"/>
    <mergeCell ref="C11:D11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5</vt:i4>
      </vt:variant>
    </vt:vector>
  </HeadingPairs>
  <TitlesOfParts>
    <vt:vector size="35" baseType="lpstr">
      <vt:lpstr>úvodní strana</vt:lpstr>
      <vt:lpstr>Bilance</vt:lpstr>
      <vt:lpstr>Sumář příjmů a výdajů</vt:lpstr>
      <vt:lpstr>Fondy</vt:lpstr>
      <vt:lpstr>Příjmy z pronájmu majetku PO</vt:lpstr>
      <vt:lpstr>Dluhová služba </vt:lpstr>
      <vt:lpstr>Kapitálové výdaje </vt:lpstr>
      <vt:lpstr>Očekávané výdaje</vt:lpstr>
      <vt:lpstr>Specifické rezervy</vt:lpstr>
      <vt:lpstr>Příspěvky PO</vt:lpstr>
      <vt:lpstr>Běžné výdaje kapitol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13</vt:lpstr>
      <vt:lpstr>15</vt:lpstr>
      <vt:lpstr>17</vt:lpstr>
      <vt:lpstr>18</vt:lpstr>
      <vt:lpstr>23</vt:lpstr>
      <vt:lpstr>25</vt:lpstr>
      <vt:lpstr>Kapitoly - shrnutí BV a INV</vt:lpstr>
      <vt:lpstr>Semafor</vt:lpstr>
      <vt:lpstr>'05'!Názvy_tisku</vt:lpstr>
      <vt:lpstr>'06'!Názvy_tisku</vt:lpstr>
      <vt:lpstr>'17'!Názvy_tisku</vt:lpstr>
      <vt:lpstr>'Sumář příjmů a výdajů'!Názvy_tisku</vt:lpstr>
      <vt:lpstr>'Příjmy z pronájmu majetku PO'!Oblast_tisku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2019-11-07T09:41:45Z</cp:lastPrinted>
  <dcterms:created xsi:type="dcterms:W3CDTF">2014-09-16T07:52:57Z</dcterms:created>
  <dcterms:modified xsi:type="dcterms:W3CDTF">2019-12-09T08:10:30Z</dcterms:modified>
</cp:coreProperties>
</file>